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6930" tabRatio="602" firstSheet="14" activeTab="21"/>
  </bookViews>
  <sheets>
    <sheet name="Parâmetros" sheetId="1" r:id="rId1"/>
    <sheet name="Projeções" sheetId="2" r:id="rId2"/>
    <sheet name="RCL" sheetId="3" r:id="rId3"/>
    <sheet name="Pessoal" sheetId="4" r:id="rId4"/>
    <sheet name="Dívida" sheetId="5" r:id="rId5"/>
    <sheet name="RPrim-Nom" sheetId="6" r:id="rId6"/>
    <sheet name="Metas Cons" sheetId="7" r:id="rId7"/>
    <sheet name="MetasRPPS" sheetId="8" r:id="rId8"/>
    <sheet name=" Avaliação" sheetId="9" r:id="rId9"/>
    <sheet name="Comparação" sheetId="10" r:id="rId10"/>
    <sheet name=" Patrimônio" sheetId="11" r:id="rId11"/>
    <sheet name=" Alienação" sheetId="12" r:id="rId12"/>
    <sheet name="RPPS-Financeiro" sheetId="13" r:id="rId13"/>
    <sheet name="Renúncia" sheetId="14" r:id="rId14"/>
    <sheet name="DOCC" sheetId="15" r:id="rId15"/>
    <sheet name="DOCC(alternativa)" sheetId="16" r:id="rId16"/>
    <sheet name="Anexo Riscos" sheetId="17" r:id="rId17"/>
    <sheet name="Anexo III - Metas e Prioridades" sheetId="18" r:id="rId18"/>
    <sheet name="Anexo IV - Consdo Patrimônio" sheetId="19" r:id="rId19"/>
    <sheet name="Plan1" sheetId="20" r:id="rId20"/>
    <sheet name="Plan2" sheetId="21" r:id="rId21"/>
    <sheet name="Plan3" sheetId="22" r:id="rId22"/>
    <sheet name="Plan4" sheetId="23" r:id="rId23"/>
  </sheets>
  <definedNames>
    <definedName name="_xlnm.Print_Area" localSheetId="0">'Parâmetros'!$A$7:$G$26</definedName>
    <definedName name="_xlnm.Print_Area" localSheetId="1">'Projeções'!$A$1:$AL$167</definedName>
    <definedName name="Z_16B3F100_CCE8_11D8_BD62_000C6E3CD3F1_.wvu.Cols" localSheetId="0" hidden="1">'Parâmetros'!$C:$C,'Parâmetros'!#REF!</definedName>
    <definedName name="Z_16B3F100_CCE8_11D8_BD62_000C6E3CD3F1_.wvu.Rows" localSheetId="4" hidden="1">'Dívida'!$23:$23,'Dívida'!#REF!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<sst xmlns="http://schemas.openxmlformats.org/spreadsheetml/2006/main" count="951" uniqueCount="670">
  <si>
    <t>CONTAS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</si>
  <si>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</si>
  <si>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</si>
  <si>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</si>
  <si>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</si>
  <si>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</si>
  <si>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</si>
  <si>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</si>
  <si>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</si>
  <si>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</si>
  <si>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</si>
  <si>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</si>
  <si>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</si>
  <si>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</si>
  <si>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</si>
  <si>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</si>
  <si>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</si>
  <si>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</si>
  <si>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</si>
  <si>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</si>
  <si>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</si>
  <si>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</si>
  <si>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</si>
  <si>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</si>
  <si>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</si>
  <si>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</si>
  <si>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</si>
  <si>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</si>
  <si>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</si>
  <si>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</si>
  <si>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</si>
  <si>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</si>
  <si>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</si>
  <si>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</si>
  <si>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</si>
  <si>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</si>
  <si>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</si>
  <si>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</si>
  <si>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2.1 - Operações de Crédito</t>
  </si>
  <si>
    <t>Receita Total</t>
  </si>
  <si>
    <t>Despesa Total</t>
  </si>
  <si>
    <t>Reservas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</si>
  <si>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</si>
  <si>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</si>
  <si>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</si>
  <si>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</si>
  <si>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</si>
  <si>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</si>
  <si>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</si>
  <si>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</si>
  <si>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</si>
  <si>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</si>
  <si>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</si>
  <si>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</si>
  <si>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</si>
  <si>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</si>
  <si>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</si>
  <si>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</si>
  <si>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</si>
  <si>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</si>
  <si>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</si>
  <si>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</si>
  <si>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</si>
  <si>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</si>
  <si>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</si>
  <si>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</si>
  <si>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</si>
  <si>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</si>
  <si>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</si>
  <si>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</si>
  <si>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</si>
  <si>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</si>
  <si>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</si>
  <si>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</si>
  <si>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</si>
  <si>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</si>
  <si>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</si>
  <si>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</si>
  <si>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</si>
  <si>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</si>
  <si>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</si>
  <si>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</si>
  <si>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</si>
  <si>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</si>
  <si>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</si>
  <si>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</si>
  <si>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</si>
  <si>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</si>
  <si>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</si>
  <si>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</si>
  <si>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</si>
  <si>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</si>
  <si>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    Alienação de Bens Móveis</t>
  </si>
  <si>
    <t xml:space="preserve">        Alienação de Bens Imóveis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</si>
  <si>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</si>
  <si>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</si>
  <si>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</si>
  <si>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</si>
  <si>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</si>
  <si>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</si>
  <si>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</si>
  <si>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</si>
  <si>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</si>
  <si>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</si>
  <si>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</si>
  <si>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</si>
  <si>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</si>
  <si>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</si>
  <si>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</si>
  <si>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</si>
  <si>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</si>
  <si>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</si>
  <si>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</si>
  <si>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</si>
  <si>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</si>
  <si>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</si>
  <si>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</si>
  <si>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</si>
  <si>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Valor (c) = (b-a)</t>
  </si>
  <si>
    <t>Variação %</t>
  </si>
  <si>
    <t>Variação%</t>
  </si>
  <si>
    <t xml:space="preserve">  Receitas Primárias (I)</t>
  </si>
  <si>
    <t>Despesas Primárias (II)</t>
  </si>
  <si>
    <t>Fonte:</t>
  </si>
  <si>
    <t>Receita Primárias (I)</t>
  </si>
  <si>
    <t>Despesa Primárias (II)</t>
  </si>
  <si>
    <t>DEMONSTRATIVO DE METAS FISCAIS ATUAIS COMPARADAS COM AS FIXADAS  NOS TRÊS EXERCÍCIOS ANTERIORES</t>
  </si>
  <si>
    <t>Receitas Primárias (I)</t>
  </si>
  <si>
    <t>Saldo</t>
  </si>
  <si>
    <t>Reestimativa</t>
  </si>
  <si>
    <t>REESTIMADO</t>
  </si>
  <si>
    <t>JUROS E ENCARGOS DA DÍVIDA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</si>
  <si>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</si>
  <si>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</si>
  <si>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</si>
  <si>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</si>
  <si>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</si>
  <si>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</si>
  <si>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</si>
  <si>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</si>
  <si>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</si>
  <si>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</si>
  <si>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</si>
  <si>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</si>
  <si>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</si>
  <si>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</si>
  <si>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Exercício</t>
  </si>
  <si>
    <t>(-)  Transferências ao FUNDEB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</si>
  <si>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</si>
  <si>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</si>
  <si>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</si>
  <si>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</si>
  <si>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</si>
  <si>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</si>
  <si>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 xml:space="preserve">Operações de Crédito / Pagamentos </t>
  </si>
  <si>
    <t>ANEXO DE  METAS FISCAIS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</si>
  <si>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</si>
  <si>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</si>
  <si>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</si>
  <si>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</si>
  <si>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</si>
  <si>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</si>
  <si>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</si>
  <si>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</si>
  <si>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</si>
  <si>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</si>
  <si>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</si>
  <si>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</si>
  <si>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</si>
  <si>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</si>
  <si>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</si>
  <si>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</si>
  <si>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</si>
  <si>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</si>
  <si>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</si>
  <si>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</si>
  <si>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</si>
  <si>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</si>
  <si>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RESULTADO PREVIDENCIÁRIO (VII) = (III – VI)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</si>
  <si>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</si>
  <si>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</si>
  <si>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</si>
  <si>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</si>
  <si>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</si>
  <si>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</si>
  <si>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</si>
  <si>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</si>
  <si>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</si>
  <si>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 III -  METAS E PRIORIDADES</t>
  </si>
  <si>
    <t xml:space="preserve">PROGRAMA: </t>
  </si>
  <si>
    <t xml:space="preserve">OBJETIVO: 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</si>
  <si>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</si>
  <si>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</si>
  <si>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</si>
  <si>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</si>
  <si>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</si>
  <si>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</si>
  <si>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</si>
  <si>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</si>
  <si>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</si>
  <si>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</si>
  <si>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</si>
  <si>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</si>
  <si>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</si>
  <si>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</si>
  <si>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</si>
  <si>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</si>
  <si>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</si>
  <si>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</si>
  <si>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</si>
  <si>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</si>
  <si>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 xml:space="preserve">Invetimentos  RPPS 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</si>
  <si>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</si>
  <si>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</si>
  <si>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</si>
  <si>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</si>
  <si>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</si>
  <si>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t> FONTE: Sistema &lt;Nome&gt;, Unidade Responsável &lt;Nome&gt;, Data da emissão &lt;dd/mmm/aaaa&gt; e hora de emissão &lt;hhh e mmm&gt;</t>
  </si>
  <si>
    <t>Fonte:  Sistema &lt;Nome&gt;, Unidade Responsável &lt;Nome&gt;, Data da emissão &lt;dd/mmm/aaaa&gt; e hora de emissão &lt;hhh e mmm&gt;</t>
  </si>
  <si>
    <t>Taxa de Juros Selic (Média do Ano)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</si>
  <si>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</si>
  <si>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</si>
  <si>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</si>
  <si>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</si>
  <si>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</si>
  <si>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</si>
  <si>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</si>
  <si>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</si>
  <si>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</si>
  <si>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</si>
  <si>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</si>
  <si>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</si>
  <si>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</si>
  <si>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</si>
  <si>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</si>
  <si>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</si>
  <si>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</si>
  <si>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</si>
  <si>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</si>
  <si>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</si>
  <si>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</si>
  <si>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</si>
  <si>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</si>
  <si>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</si>
  <si>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</si>
  <si>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</si>
  <si>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</si>
  <si>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</si>
  <si>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</si>
  <si>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</si>
  <si>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</si>
  <si>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</si>
  <si>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</si>
  <si>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</si>
  <si>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</si>
  <si>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</si>
  <si>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</si>
  <si>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</si>
  <si>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</si>
  <si>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</si>
  <si>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</si>
  <si>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</si>
  <si>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</si>
  <si>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</si>
  <si>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</si>
  <si>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</si>
  <si>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</si>
  <si>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</si>
  <si>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</si>
  <si>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</si>
  <si>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</si>
  <si>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</si>
  <si>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</si>
  <si>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</si>
  <si>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</si>
  <si>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</si>
  <si>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</si>
  <si>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</si>
  <si>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</si>
  <si>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</si>
  <si>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</si>
  <si>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</si>
  <si>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</si>
  <si>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</si>
  <si>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</si>
  <si>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</si>
  <si>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</si>
  <si>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</si>
  <si>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</si>
  <si>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</si>
  <si>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</si>
  <si>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</si>
  <si>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</si>
  <si>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</si>
  <si>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</si>
  <si>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</si>
  <si>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</si>
  <si>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</si>
  <si>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</si>
  <si>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</si>
  <si>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</si>
  <si>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</si>
  <si>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</si>
  <si>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</si>
  <si>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</si>
  <si>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</si>
  <si>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</si>
  <si>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</si>
  <si>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</si>
  <si>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</si>
  <si>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</si>
  <si>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</si>
  <si>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</si>
  <si>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</si>
  <si>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</si>
  <si>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</si>
  <si>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</si>
  <si>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</si>
  <si>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</si>
  <si>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</si>
  <si>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</si>
  <si>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</si>
  <si>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</si>
  <si>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</si>
  <si>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</si>
  <si>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</si>
  <si>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</si>
  <si>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</si>
  <si>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</si>
  <si>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</si>
  <si>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</si>
  <si>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</si>
  <si>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</si>
  <si>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</si>
  <si>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</si>
  <si>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</si>
  <si>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</si>
  <si>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</si>
  <si>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</si>
  <si>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</si>
  <si>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</si>
  <si>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</si>
  <si>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</si>
  <si>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</si>
  <si>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</si>
  <si>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</si>
  <si>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</si>
  <si>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</si>
  <si>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</si>
  <si>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</si>
  <si>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</si>
  <si>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</si>
  <si>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</si>
  <si>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</si>
  <si>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</si>
  <si>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</si>
  <si>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</si>
  <si>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</si>
  <si>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</si>
  <si>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</si>
  <si>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</si>
  <si>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</si>
  <si>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</si>
  <si>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</si>
  <si>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</si>
  <si>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</si>
  <si>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</si>
  <si>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</si>
  <si>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</si>
  <si>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</si>
  <si>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</si>
  <si>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</si>
  <si>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</si>
  <si>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</si>
  <si>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</si>
  <si>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</si>
  <si>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</si>
  <si>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</si>
  <si>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</si>
  <si>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</si>
  <si>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</si>
  <si>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</si>
  <si>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</si>
  <si>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</si>
  <si>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</si>
  <si>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</si>
  <si>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</si>
  <si>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</si>
  <si>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</si>
  <si>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</si>
  <si>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</si>
  <si>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</si>
  <si>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</si>
  <si>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</si>
  <si>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</si>
  <si>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Receitas Correntes Intraorçamentárias - RPPS</t>
  </si>
  <si>
    <t>Valor Corrente (a)</t>
  </si>
  <si>
    <t>% RCL</t>
  </si>
  <si>
    <t>(a /RCL)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</si>
  <si>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</si>
  <si>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</si>
  <si>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</si>
  <si>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</si>
  <si>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</si>
  <si>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</si>
  <si>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Estimativas para a Receita Corrente Líquida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</si>
  <si>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</si>
  <si>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</si>
  <si>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</si>
  <si>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</si>
  <si>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</si>
  <si>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</si>
  <si>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</si>
  <si>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</si>
  <si>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</si>
  <si>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</si>
  <si>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(B /RCL)</t>
  </si>
  <si>
    <t>(b /RCL)</t>
  </si>
  <si>
    <t>Inflação para 2020:</t>
  </si>
  <si>
    <t>AMF - Demonstrativo 6 (LRF, art. 4º, § 2º, inciso IV, alínea "a")</t>
  </si>
  <si>
    <t>RECEITAS E DESPESAS PREVIDENCIÁRIOS DO REGIME PRÓPRIO DE PREVIDÊNCIA DOS SERVIDORES</t>
  </si>
  <si>
    <t>PLANO PREVIDENCIÁRIO</t>
  </si>
  <si>
    <t>RECEITAS PREVIDENCIÁRIAS - RPPS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</si>
  <si>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</si>
  <si>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</si>
  <si>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</si>
  <si>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</si>
  <si>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</si>
  <si>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</si>
  <si>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</si>
  <si>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</si>
  <si>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</si>
  <si>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</si>
  <si>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</si>
  <si>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</si>
  <si>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</si>
  <si>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</si>
  <si>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RECEITAS DE CAPITAL (II)</t>
  </si>
  <si>
    <t>Alienação de Bens, Direitos e Ativos</t>
  </si>
  <si>
    <t>TOTAL DAS RECEITAS PREVIDENCIÁRIAS RPPS - (III) = (I + II)</t>
  </si>
  <si>
    <t>DESPESAS PREVIDENCIÁRIAS - RPPS</t>
  </si>
  <si>
    <t>ADMINISTRAÇÃO (IV)</t>
  </si>
  <si>
    <t>Despesas Correntes</t>
  </si>
  <si>
    <t>Despesas de Capital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</si>
  <si>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</si>
  <si>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</si>
  <si>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</si>
  <si>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</si>
  <si>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</si>
  <si>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</si>
  <si>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</si>
  <si>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</si>
  <si>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</si>
  <si>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</si>
  <si>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</si>
  <si>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</si>
  <si>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VALOR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</si>
  <si>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</si>
  <si>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</si>
  <si>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</si>
  <si>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</si>
  <si>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</si>
  <si>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</si>
  <si>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</si>
  <si>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</si>
  <si>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PLANO FINANCEIRO</t>
  </si>
  <si>
    <t>RECEITAS CORRENTES (VIII)</t>
  </si>
  <si>
    <t>Receita de Contribuições dos Segurados</t>
  </si>
  <si>
    <t>Receita de Contribuições Patronais</t>
  </si>
  <si>
    <t>RECEITAS DE CAPITAL (IX)</t>
  </si>
  <si>
    <t>TOTAL DAS RECEITAS PREVIDENCIÁRIAS RPPS - (X) = (VIII + IX)</t>
  </si>
  <si>
    <t>ADMINISTRAÇÃO (XI)</t>
  </si>
  <si>
    <t>PREVIDÊNCIA (XII)</t>
  </si>
  <si>
    <t xml:space="preserve">Aposentadorias </t>
  </si>
  <si>
    <t>TOTAL DAS DESPESAS PREVIDENCIÁRIAS RPPS (XIII) = (XI + XII)</t>
  </si>
  <si>
    <t>RESULTADO PREVIDENCIÁRIO (XIV) = (X – XIII)</t>
  </si>
  <si>
    <t>APORTES DE RECURSOS PARA O PLANO FINANCEIRO DO RRPS</t>
  </si>
  <si>
    <t>Recursos para Cobertura de Insuficiências Financeiras</t>
  </si>
  <si>
    <t>Recursos para Formação de Reserva</t>
  </si>
  <si>
    <t>PROJEÇÃO ATUARIAL DO REGIME PRÓPRIO DE PREVIDÊNCIA DOS SERVIDORES</t>
  </si>
  <si>
    <t>FONTE: Sistema &lt;sistema&gt;, Unidade Responsável: &lt;Unidade Responsável&gt;. Emissão: &lt;dd/mm/aaaa&gt;, às &lt;hh:mm:ss&gt;. Assinado Digitalmente no dia &lt;dd/mm/aaaa&gt;, às &lt;hh:mm:ss&gt;.</t>
  </si>
  <si>
    <r>
      <t>Em Regime de Parcelamento de Débitos</t>
    </r>
    <r>
      <rPr>
        <sz val="8"/>
        <rFont val="Arial"/>
        <family val="2"/>
      </rPr>
      <t xml:space="preserve"> </t>
    </r>
  </si>
  <si>
    <r>
      <t xml:space="preserve">Receitas
Previdenciárias </t>
    </r>
    <r>
      <rPr>
        <b/>
        <sz val="8"/>
        <rFont val="Arial"/>
        <family val="2"/>
      </rPr>
      <t>(a)</t>
    </r>
  </si>
  <si>
    <r>
      <t xml:space="preserve">Despesas
Previdenciárias
</t>
    </r>
    <r>
      <rPr>
        <b/>
        <sz val="8"/>
        <rFont val="Arial"/>
        <family val="2"/>
      </rPr>
      <t>(b)</t>
    </r>
  </si>
  <si>
    <r>
      <t xml:space="preserve">Resultado
Previdenciário
</t>
    </r>
    <r>
      <rPr>
        <b/>
        <sz val="8"/>
        <rFont val="Arial"/>
        <family val="2"/>
      </rPr>
      <t>(c) = (a-b)</t>
    </r>
  </si>
  <si>
    <r>
      <t xml:space="preserve">Saldo Financeiro 
do Exercício
</t>
    </r>
    <r>
      <rPr>
        <b/>
        <sz val="8"/>
        <rFont val="Arial"/>
        <family val="2"/>
      </rPr>
      <t>(d) = (d Exercício Anterior) + (c)</t>
    </r>
  </si>
  <si>
    <t>AVALIAÇÃO DA SITUAÇÃO FINANCEIRA E ATUARIAL DO RPPS</t>
  </si>
  <si>
    <t>Estimativa de Limites de Gastos com Pessoal do Poder Executivo e Legislativo para o período de 2018 a 2021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</si>
  <si>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</si>
  <si>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</si>
  <si>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</si>
  <si>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</si>
  <si>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</si>
  <si>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</si>
  <si>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</si>
  <si>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</si>
  <si>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2.2 Encargos - Exceto RPPS</t>
  </si>
  <si>
    <t>2.3 Amortizações - Exceto RPPS</t>
  </si>
  <si>
    <t>Memória de Cálculo das Estimativas das Receitas</t>
  </si>
  <si>
    <t>ANEXO DE METAS FISCAIS</t>
  </si>
  <si>
    <t>METAS ANUAIS - CONSOLIDADO</t>
  </si>
  <si>
    <t>METAS ANUAIS - RPPS</t>
  </si>
  <si>
    <t xml:space="preserve">AVALIAÇÃO DO CUMPRIMENTO DAS METAS FISCAIS   DO EXERCÍCIO ANTERIOR                            </t>
  </si>
  <si>
    <t>EVOLUÇÃO DO PATRIMÔNIO LÍQUIDO</t>
  </si>
  <si>
    <t>ORIGEM E APLICAÇÃO DOS RECURSOS OBTIDOS COM A ALIENAÇÃO DE ATIVOS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</si>
  <si>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</si>
  <si>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</si>
  <si>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</si>
  <si>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</si>
  <si>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t>AMF - Demonstrativo 5 (LRF, art.4º, §2º, inciso III)</t>
  </si>
  <si>
    <t>AMF - Demonstrativo 4 (LRF, art.4º, §2º, inciso III)</t>
  </si>
  <si>
    <t>AMF – Demonstrativo 3 (LRF, art.4º, §2º, inciso II)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</si>
  <si>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</si>
  <si>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AMF - Demonstrativo 2 (LRF, art. 4º, §2º, inciso I)</t>
  </si>
  <si>
    <t>AMF - Demonstrativo 1 (LRF, art. 4º, § 1º)</t>
  </si>
  <si>
    <r>
      <t xml:space="preserve">Fonte: </t>
    </r>
    <r>
      <rPr>
        <sz val="10"/>
        <rFont val="Arial"/>
        <family val="2"/>
      </rPr>
      <t>Sistema &lt;Nome&gt;, Unidade Responsável &lt;Nome&gt;, Data da emissão &lt;dd/mmm/aaaa&gt; e hora de emissão &lt;hhh e mmm&gt;</t>
    </r>
  </si>
  <si>
    <t xml:space="preserve">Valor Constante </t>
  </si>
  <si>
    <t>Valor Corrente (b)</t>
  </si>
  <si>
    <t>Valor Constante</t>
  </si>
  <si>
    <t>Valor Corrente (c)</t>
  </si>
  <si>
    <t>LEI DE DIRETRIZES ORÇAMENTÁRIAS  PARA 2019</t>
  </si>
  <si>
    <t>Indicador</t>
  </si>
  <si>
    <t>PAGA</t>
  </si>
  <si>
    <t>PAGA(Estim)</t>
  </si>
  <si>
    <t>Memória de Cálculo das Estimativas de Pagamento das Despesas - Inclusive Restos a Pagar</t>
  </si>
  <si>
    <t>TOTAL DAS DESPESAS PAGAS</t>
  </si>
  <si>
    <t>TOTAL DAS RECEITAS ARRECADADAS</t>
  </si>
  <si>
    <t>LEI DE DIRETRIZES ORÇAMENTÁRIAS PARA 2019</t>
  </si>
  <si>
    <t>TABELA 02 - Demonstrativo da  Memória de Cálculo do Resultado Primário e Nominal  -  ACIMA DA LINHA</t>
  </si>
  <si>
    <t>RECEITAS PRIMÁRIAS</t>
  </si>
  <si>
    <t>Arrecadação</t>
  </si>
  <si>
    <t>Projeção</t>
  </si>
  <si>
    <t>(-)  Aplicações Financeiras em Geral</t>
  </si>
  <si>
    <t>(-) Aplicações Financeiras do RPPS</t>
  </si>
  <si>
    <t>(-) Outras Receitas Financeiras</t>
  </si>
  <si>
    <t>(-)  Operações de Crédito</t>
  </si>
  <si>
    <t>(-) Amortização de Empréstimos</t>
  </si>
  <si>
    <t>(-) Alienação de Investimentos Temporários e Permanentes</t>
  </si>
  <si>
    <t>(-) Outras Receitas de Capital -  Não Primárias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</si>
  <si>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</si>
  <si>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</si>
  <si>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</si>
  <si>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</si>
  <si>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</si>
  <si>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</si>
  <si>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</si>
  <si>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</si>
  <si>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</si>
  <si>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</si>
  <si>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</si>
  <si>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</si>
  <si>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</si>
  <si>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>Taxa de Câmbio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</si>
  <si>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</si>
  <si>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</si>
  <si>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</si>
  <si>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</si>
  <si>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DESPESAS PRIMÁRIAS</t>
  </si>
  <si>
    <t>(-)  Juros e Encargos da Dívida</t>
  </si>
  <si>
    <t>(-)  Concessão e Empréstimos e Financiamentos</t>
  </si>
  <si>
    <t>(-) Aquisiç. De Títulos de Capital Já Integarlizado</t>
  </si>
  <si>
    <t>(-) Aquisição de Títulos de Crédito</t>
  </si>
  <si>
    <t>(-) Amortização da Dívida</t>
  </si>
  <si>
    <t>(=) Receitas Primárias Correntes  (I)</t>
  </si>
  <si>
    <t>(=) Receitas Primárias de Capital (II)</t>
  </si>
  <si>
    <t>RECEITAS PRIMÁRIAS TOTAIS (III = I + II)</t>
  </si>
  <si>
    <t>(=) Despesas Primárias Correntes (IV)</t>
  </si>
  <si>
    <t>(=) Despesas Primárias de Capital (V)</t>
  </si>
  <si>
    <t>DESPESAS PRIMÁRIAS TOTAIS (VI = IV + V)</t>
  </si>
  <si>
    <t>Pagamento</t>
  </si>
  <si>
    <t>Pagto Estimado</t>
  </si>
  <si>
    <t>RESULTADO PRIMÁRIO   -  ACIMA DA LINHA (VII = III - VI)</t>
  </si>
  <si>
    <t>JUROS E ENCARGOS ATIVOS (Variações Patrimoniais Aumentativas)</t>
  </si>
  <si>
    <t>4.4.1.1.1.00.00 - Juros e Encargos de Empréstimos Internos Concedidos – Consolidação</t>
  </si>
  <si>
    <t>4.4.1.1.3.00.00 - Juros e Encargos de Empréstimos Internos Concedidos - Inter Ofss – União</t>
  </si>
  <si>
    <t>4.4.1.1.4.00.00 - Juros e Encargos de Empréstimos Internos Concedidos - Inter Ofss -Estado</t>
  </si>
  <si>
    <t>4.4.1.1.5.00.00 - Juros e Encargos de Empréstimos Internos Concedidos - Inter Ofss – Município</t>
  </si>
  <si>
    <t>4.4.1.2.1.00.00 - Juros e Encargos de Empréstimos Externos Concedidos – Consolidação</t>
  </si>
  <si>
    <t>4.4.1.3.1.00.00 - Juros e Encargos de Financiamentos Internos Concedidos – Consolidação</t>
  </si>
  <si>
    <t>4.4.1.3.3.00.00 - Juros e Encargos de Financiamentos Internos Concedidos - Inter Ofss – União</t>
  </si>
  <si>
    <t>4.4.1.3.4.00.00 - Juros e Encargos de Financiamentos Internos Concedidos - Inter Ofss – Estado</t>
  </si>
  <si>
    <t>4.4.1.3.5.00.00 - Juros e Encargos de Financiamentos Internos Concedidos - Inter Ofss – Município</t>
  </si>
  <si>
    <t>4.4.1.4.1.00.00 - Juros e Encargos de Financiamentos Externos Concedidos – Consolidação</t>
  </si>
  <si>
    <t>4.4.2.1.1.00.00 - Juros e Encargos de Mora Sobre Empréstimos e Financiamentos Internos Concedidos – Consolidação</t>
  </si>
  <si>
    <t>4.4.2.1.3.00.00 - Juros e Encargos de Mora Sobre Empréstimos e Financiamentos Internos Concedidos - Inter Ofss – União</t>
  </si>
  <si>
    <t>4.4.2.1.4.00.00 - Juros e Encargos de Mora Sobre Empréstimos e Financiamentos Internos Concedidos - Inter Ofss - Estado</t>
  </si>
  <si>
    <t>4.4.2.1.5.00.00 - Juros e Encargos ee Mora Sobre Empréstimos e Financiamentos Internos Concedidos - Inter Ofss - Município</t>
  </si>
  <si>
    <t>4.4.2.2.1.00.00 - Juros e Encargos de Mora Sobre Empréstimos e Financiamentos Externos Concedidos - Consolidação</t>
  </si>
  <si>
    <t>4.4.5.1.1.00.00 - Remuneração de Depósitos Bancários - Consolidação</t>
  </si>
  <si>
    <t>4.4.5.2.1.00.00 - Remuneração de Aplicações Financeiras - Consolidação</t>
  </si>
  <si>
    <t>SOMA  DOS JUROS E ENCARGOS ATIVOS  (VIII)</t>
  </si>
  <si>
    <t>JUROS E ENCARGOS PASSIVOS (Variações Patrimoniais Diminutivas)</t>
  </si>
  <si>
    <t>SOMA  DOS JUROS E ENCARGOS PASSIVOS (IX)</t>
  </si>
  <si>
    <t>3.4.1.1.1.00.00 - Juros e Encargos da Dívida Contratual Interna - Consolidação</t>
  </si>
  <si>
    <t>3.4.1.1.3.00.00 - Juros e Encargos da Dívida Contratual Interna - Inter Ofss - União</t>
  </si>
  <si>
    <t>3.4.1.1.4.00.00 - Juros e Encargos da Dívida Contratual Interna - Inter Ofss - Estado</t>
  </si>
  <si>
    <t>3.4.1.1.5.00.00 - Juros e Encargos da Dívida Contratual Interna - Inter Ofss - Município</t>
  </si>
  <si>
    <t>3.4.1.2.1.00.00 - Juros e Encargos da Dívida Contratual Externa - Consolidação</t>
  </si>
  <si>
    <t>3.4.1.3.1.00.00 - Juros e Encargos da Dívida Mobiliaria - Consolidação</t>
  </si>
  <si>
    <t>3.4.1.4.1.00.00 - Juros e Encargos de Empréstimos por Antecipação de Receita Orçamentária – Consolidação</t>
  </si>
  <si>
    <t>3.4.1.8.1.00.00 - Outros Juros e Encargos de Empréstimos e Financiamentos Internos – Consolidação</t>
  </si>
  <si>
    <t>3.4.1.8.3.00.00 - Outros Juros e Encargos de Empréstimos e Financiamentos Internos - Inter Ofss – União</t>
  </si>
  <si>
    <t>3.4.1.8.4.00.00 - Outros Juros e Encargos de Empréstimos e Financiamentos Internos - Inter Ofss – Estado</t>
  </si>
  <si>
    <t>3.4.1.8.5.00.00 - Outros Juros e Encargos de Empréstimos e Financiamentos Internos - Inter Ofss - Município</t>
  </si>
  <si>
    <t>3.4.1.9.1.00.00 - Outros Juros e Encargos de Empréstimos e Financiamentos Externos - Consolidação</t>
  </si>
  <si>
    <t>3.4.2.1.1.00.00 - Juros e Encargos de Mora de Empréstimos e Financiamentos Internos Obtidos - Consolidação</t>
  </si>
  <si>
    <t>3.4.2.1.3.00.00 - Juros e Encargos de Mora de Empréstimos e Financiamentos Internos Obtidos - Inter Ofss - União</t>
  </si>
  <si>
    <t>3.4.2.1.4.00.00 - Juros e Encargos de Mora de Empréstimos e Financiamentos Internos Obtidos - Inter Ofss - Estado</t>
  </si>
  <si>
    <t>3.4.2.1.5.00.00 -  Juros e Encargos de Mora de Empréstimos e Financiamentos Internos Obtidos - Inter Ofss - Município</t>
  </si>
  <si>
    <t>3.4.2.2.1.00.00 - Juros e Encargos de Mora de Empréstimos e Financiamentos Externos Obtidos - Consolidação</t>
  </si>
  <si>
    <t>RESULTADO NOMINAL  -  ACIMA DA LINHA (X = VII + VIII - IX))</t>
  </si>
  <si>
    <t xml:space="preserve">TABELA 03 - Demonstrativo da Evolução da Dívida Consolidada Líquida </t>
  </si>
  <si>
    <t>Apuração Conforme a Instrução Normativa nº 12/2017, do TCE/RS</t>
  </si>
  <si>
    <t>Lei de Diretrizes Orçamentárias para o Exercício de 2019</t>
  </si>
  <si>
    <t>EXERCÍCIO DE 2019</t>
  </si>
  <si>
    <t>2017 (a)</t>
  </si>
  <si>
    <t>2017 (b)</t>
  </si>
  <si>
    <t xml:space="preserve"> EXERCÍCIO DE 2019</t>
  </si>
  <si>
    <t xml:space="preserve">EXERCÍCIO DE 2019 </t>
  </si>
  <si>
    <t>Valor Previsto 2019</t>
  </si>
  <si>
    <t>LEI DE DIRETRIZES ORÇAMENTÁRIAS – 2019</t>
  </si>
  <si>
    <t>LEI DE DIRETRIZES ORÇAMENTÁRIAS - 2019</t>
  </si>
  <si>
    <t>RECURSOS PRIORIZADOS PARA 2019</t>
  </si>
  <si>
    <t>ATÉ EXERC ANTERIOR - 2017</t>
  </si>
  <si>
    <t>NO EXERCÍCIO DE 2018</t>
  </si>
  <si>
    <t>A EXECUTAR EM 2019</t>
  </si>
  <si>
    <t>Lucros ou Prejuízos Acumulados</t>
  </si>
  <si>
    <t>RECEITAS DE CAPITAL - Alienaçã de Ativos (I)</t>
  </si>
  <si>
    <t>APLICAÇÃO DOS RECURSOS DA ALIENAÇÃO DE ATIVOS (II)</t>
  </si>
  <si>
    <t>Valor (III)</t>
  </si>
  <si>
    <t>Obs:  1 -   Os valores da renúncia para 2019 foram previstos de acordo com informações do setor tributário</t>
  </si>
  <si>
    <t>2 - Os valores da renúncia projetados para 2020 e 20210, foram claculados a partir dos valores de 2019, apli</t>
  </si>
  <si>
    <t>Inflação para 2021:</t>
  </si>
  <si>
    <t xml:space="preserve">    Dívida Mobiliária</t>
  </si>
  <si>
    <t xml:space="preserve">    Dívida Contratual (inclusive parcelamentos)</t>
  </si>
  <si>
    <t xml:space="preserve">    Precatórios posteriores a 05-05-2000</t>
  </si>
  <si>
    <t xml:space="preserve"> DÍVIDA CONSOLIDADA (I)</t>
  </si>
  <si>
    <t>DISPONIBILIDADES DE CAIXA (II)</t>
  </si>
  <si>
    <t xml:space="preserve">   Disponibilidade da Caixa Bruta</t>
  </si>
  <si>
    <t xml:space="preserve">   (-) Restos a Pagar Processados</t>
  </si>
  <si>
    <t>DIVIDA CONSOLIDADA LÍQUIDA (III = I - II)</t>
  </si>
  <si>
    <t xml:space="preserve">   Demais Haveres Financeiros</t>
  </si>
  <si>
    <t>Previsão (Saldo Médio)</t>
  </si>
  <si>
    <t>Cronograma Anual de Operações de Crédito e  de Amortização e Serviço da Dívida</t>
  </si>
  <si>
    <t>Preenchimento Opcional Cfe. Item 02.01.02.01 da 8ª Edição do MDF</t>
  </si>
  <si>
    <t>Preenchimento opcional cfe. Item 02.01.02.01 da 8ª edição do MDF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</si>
  <si>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</si>
  <si>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</si>
  <si>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</si>
  <si>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</si>
  <si>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Preenchimento Opcional Cfe 8ª Edição do MDF</t>
  </si>
  <si>
    <t xml:space="preserve">                                                                                                                                                                                  </t>
  </si>
  <si>
    <t xml:space="preserve"> </t>
  </si>
  <si>
    <t>SALDOS DE EXERCÍCIOS ANTERIORES A 2018</t>
  </si>
  <si>
    <t>Abertura de Créditos Adicionais a partir da Reserva de Contingência</t>
  </si>
  <si>
    <t xml:space="preserve">Limitação de empenhos conforme LDO </t>
  </si>
  <si>
    <t xml:space="preserve">Construção do Centro Municipal de Esporte e Lazer </t>
  </si>
  <si>
    <t>Conclusão da Rede de Esgoto Pluvial (Programa Minha Casa, Minha Vida)</t>
  </si>
  <si>
    <t>Manutenção de Prédios Públicos</t>
  </si>
  <si>
    <t xml:space="preserve">Pavimentação de Vias Públicas </t>
  </si>
  <si>
    <t>Dezapropriação para areas de recreação e lazer</t>
  </si>
  <si>
    <t>R$ 50.000,00,</t>
  </si>
  <si>
    <t xml:space="preserve">Quadra de Futebol Society </t>
  </si>
  <si>
    <t>Construção de Cobertura de Quadra</t>
  </si>
  <si>
    <t xml:space="preserve">Aquisição de Equipamentos para prática de esporte </t>
  </si>
  <si>
    <t>Pista de Caminhada</t>
  </si>
  <si>
    <t xml:space="preserve">Campo de Futebol </t>
  </si>
  <si>
    <t>Corbetura da Quadra Manoel Imas</t>
  </si>
  <si>
    <t>Município de Barra do Quaraí</t>
  </si>
  <si>
    <t>MUNICÍPIO DE BARRA DO QUARAÍ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</si>
</sst>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[$-416]dddd\,\ d&quot; de &quot;mmmm&quot; de &quot;yyyy"/>
    <numFmt numFmtId="205" formatCode="00000"/>
    <numFmt numFmtId="206" formatCode="0&quot;.&quot;0&quot;.&quot;0&quot;.&quot;0&quot;.&quot;00&quot;.&quot;0&quot;.&quot;0"/>
    <numFmt numFmtId="207" formatCode="#,##0.00_ ;\-#,##0.00\ "/>
    <numFmt numFmtId="208" formatCode="_(* #,##0_);_(* \(#,##0\);_(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0&quot;.&quot;0&quot;.&quot;0&quot;.&quot;0&quot;.&quot;0&quot;.&quot;00&quot;.&quot;00"/>
    <numFmt numFmtId="214" formatCode="&quot;Ativado&quot;;&quot;Ativado&quot;;&quot;Desativado&quot;"/>
  </numFmts>
  <fonts count="8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Wingdings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175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2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left"/>
      <protection locked="0"/>
    </xf>
    <xf numFmtId="38" fontId="19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9" fillId="0" borderId="0" xfId="0" applyNumberFormat="1" applyFont="1" applyAlignment="1" applyProtection="1">
      <alignment/>
      <protection locked="0"/>
    </xf>
    <xf numFmtId="190" fontId="10" fillId="34" borderId="10" xfId="0" applyNumberFormat="1" applyFont="1" applyFill="1" applyBorder="1" applyAlignment="1" applyProtection="1">
      <alignment horizontal="center"/>
      <protection locked="0"/>
    </xf>
    <xf numFmtId="190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0" fillId="33" borderId="0" xfId="52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177" fontId="0" fillId="0" borderId="1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4" fontId="6" fillId="33" borderId="0" xfId="52" applyNumberFormat="1" applyFont="1" applyFill="1" applyBorder="1" applyAlignment="1">
      <alignment/>
    </xf>
    <xf numFmtId="4" fontId="17" fillId="33" borderId="0" xfId="52" applyNumberFormat="1" applyFont="1" applyFill="1" applyBorder="1" applyAlignment="1">
      <alignment/>
    </xf>
    <xf numFmtId="0" fontId="6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177" fontId="17" fillId="0" borderId="15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Border="1" applyAlignment="1">
      <alignment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35" borderId="24" xfId="0" applyFont="1" applyFill="1" applyBorder="1" applyAlignment="1">
      <alignment horizontal="center" vertical="top" wrapText="1"/>
    </xf>
    <xf numFmtId="0" fontId="21" fillId="35" borderId="20" xfId="0" applyFont="1" applyFill="1" applyBorder="1" applyAlignment="1">
      <alignment horizontal="center" vertical="top" wrapText="1"/>
    </xf>
    <xf numFmtId="0" fontId="21" fillId="35" borderId="23" xfId="0" applyFont="1" applyFill="1" applyBorder="1" applyAlignment="1">
      <alignment horizontal="center" vertical="top" wrapText="1"/>
    </xf>
    <xf numFmtId="0" fontId="0" fillId="35" borderId="23" xfId="0" applyFill="1" applyBorder="1" applyAlignment="1">
      <alignment vertical="top" wrapText="1"/>
    </xf>
    <xf numFmtId="0" fontId="21" fillId="35" borderId="20" xfId="0" applyFont="1" applyFill="1" applyBorder="1" applyAlignment="1">
      <alignment vertical="top" wrapText="1"/>
    </xf>
    <xf numFmtId="0" fontId="21" fillId="35" borderId="23" xfId="0" applyFont="1" applyFill="1" applyBorder="1" applyAlignment="1">
      <alignment vertical="top" wrapText="1"/>
    </xf>
    <xf numFmtId="0" fontId="20" fillId="0" borderId="23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0" borderId="23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 applyProtection="1">
      <alignment/>
      <protection locked="0"/>
    </xf>
    <xf numFmtId="0" fontId="29" fillId="0" borderId="0" xfId="0" applyFont="1" applyFill="1" applyAlignment="1">
      <alignment/>
    </xf>
    <xf numFmtId="177" fontId="2" fillId="0" borderId="15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0" fontId="1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9" fillId="36" borderId="25" xfId="0" applyFont="1" applyFill="1" applyBorder="1" applyAlignment="1">
      <alignment/>
    </xf>
    <xf numFmtId="177" fontId="9" fillId="36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3" fontId="0" fillId="0" borderId="17" xfId="0" applyNumberFormat="1" applyFont="1" applyFill="1" applyBorder="1" applyAlignment="1">
      <alignment horizontal="right" wrapText="1"/>
    </xf>
    <xf numFmtId="43" fontId="0" fillId="0" borderId="17" xfId="0" applyNumberFormat="1" applyFont="1" applyFill="1" applyBorder="1" applyAlignment="1" applyProtection="1">
      <alignment horizontal="right"/>
      <protection locked="0"/>
    </xf>
    <xf numFmtId="0" fontId="33" fillId="37" borderId="26" xfId="0" applyFont="1" applyFill="1" applyBorder="1" applyAlignment="1" applyProtection="1">
      <alignment horizontal="center" vertical="center"/>
      <protection/>
    </xf>
    <xf numFmtId="0" fontId="33" fillId="37" borderId="15" xfId="0" applyFont="1" applyFill="1" applyBorder="1" applyAlignment="1" applyProtection="1">
      <alignment horizontal="center" vertical="center"/>
      <protection/>
    </xf>
    <xf numFmtId="49" fontId="33" fillId="37" borderId="26" xfId="0" applyNumberFormat="1" applyFont="1" applyFill="1" applyBorder="1" applyAlignment="1" applyProtection="1">
      <alignment vertical="center"/>
      <protection/>
    </xf>
    <xf numFmtId="43" fontId="33" fillId="37" borderId="15" xfId="0" applyNumberFormat="1" applyFont="1" applyFill="1" applyBorder="1" applyAlignment="1" applyProtection="1">
      <alignment vertical="center"/>
      <protection/>
    </xf>
    <xf numFmtId="49" fontId="33" fillId="37" borderId="26" xfId="0" applyNumberFormat="1" applyFont="1" applyFill="1" applyBorder="1" applyAlignment="1" applyProtection="1">
      <alignment horizontal="left" vertical="center"/>
      <protection/>
    </xf>
    <xf numFmtId="43" fontId="33" fillId="37" borderId="15" xfId="0" applyNumberFormat="1" applyFont="1" applyFill="1" applyBorder="1" applyAlignment="1" applyProtection="1">
      <alignment horizontal="left" vertical="center"/>
      <protection/>
    </xf>
    <xf numFmtId="49" fontId="34" fillId="37" borderId="0" xfId="0" applyNumberFormat="1" applyFont="1" applyFill="1" applyBorder="1" applyAlignment="1" applyProtection="1">
      <alignment horizontal="left" vertical="center"/>
      <protection/>
    </xf>
    <xf numFmtId="43" fontId="34" fillId="37" borderId="15" xfId="0" applyNumberFormat="1" applyFont="1" applyFill="1" applyBorder="1" applyAlignment="1" applyProtection="1">
      <alignment horizontal="left" vertical="center"/>
      <protection/>
    </xf>
    <xf numFmtId="0" fontId="34" fillId="37" borderId="0" xfId="0" applyFont="1" applyFill="1" applyAlignment="1" applyProtection="1">
      <alignment horizontal="left" vertical="center" indent="1"/>
      <protection/>
    </xf>
    <xf numFmtId="43" fontId="34" fillId="37" borderId="15" xfId="0" applyNumberFormat="1" applyFont="1" applyFill="1" applyBorder="1" applyAlignment="1" applyProtection="1">
      <alignment horizontal="left" vertical="center" indent="1"/>
      <protection/>
    </xf>
    <xf numFmtId="49" fontId="34" fillId="37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indent="2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2"/>
    </xf>
    <xf numFmtId="49" fontId="0" fillId="0" borderId="26" xfId="0" applyNumberFormat="1" applyFont="1" applyFill="1" applyBorder="1" applyAlignment="1">
      <alignment vertical="center"/>
    </xf>
    <xf numFmtId="37" fontId="5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3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wrapText="1"/>
    </xf>
    <xf numFmtId="0" fontId="36" fillId="38" borderId="0" xfId="0" applyFont="1" applyFill="1" applyBorder="1" applyAlignment="1">
      <alignment horizontal="center" wrapText="1"/>
    </xf>
    <xf numFmtId="1" fontId="33" fillId="36" borderId="25" xfId="63" applyNumberFormat="1" applyFont="1" applyFill="1" applyBorder="1" applyAlignment="1" applyProtection="1">
      <alignment horizontal="center" vertical="center" wrapText="1"/>
      <protection/>
    </xf>
    <xf numFmtId="0" fontId="34" fillId="36" borderId="0" xfId="63" applyNumberFormat="1" applyFont="1" applyFill="1" applyBorder="1" applyAlignment="1" applyProtection="1">
      <alignment horizontal="left" vertical="center"/>
      <protection/>
    </xf>
    <xf numFmtId="0" fontId="34" fillId="36" borderId="0" xfId="63" applyNumberFormat="1" applyFont="1" applyFill="1" applyAlignment="1" applyProtection="1">
      <alignment horizontal="left"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208" fontId="0" fillId="36" borderId="0" xfId="63" applyNumberFormat="1" applyFont="1" applyFill="1" applyAlignment="1" applyProtection="1">
      <alignment vertical="center"/>
      <protection/>
    </xf>
    <xf numFmtId="43" fontId="34" fillId="36" borderId="30" xfId="63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Alignment="1">
      <alignment horizontal="center"/>
    </xf>
    <xf numFmtId="43" fontId="34" fillId="36" borderId="31" xfId="63" applyNumberFormat="1" applyFont="1" applyFill="1" applyBorder="1" applyAlignment="1" applyProtection="1">
      <alignment horizontal="left" vertical="center" indent="2"/>
      <protection/>
    </xf>
    <xf numFmtId="43" fontId="34" fillId="36" borderId="32" xfId="63" applyNumberFormat="1" applyFont="1" applyFill="1" applyBorder="1" applyAlignment="1" applyProtection="1">
      <alignment horizontal="left" vertical="center" indent="2"/>
      <protection/>
    </xf>
    <xf numFmtId="0" fontId="34" fillId="36" borderId="33" xfId="63" applyNumberFormat="1" applyFont="1" applyFill="1" applyBorder="1" applyAlignment="1" applyProtection="1">
      <alignment horizontal="left" vertical="center"/>
      <protection/>
    </xf>
    <xf numFmtId="0" fontId="34" fillId="36" borderId="34" xfId="63" applyNumberFormat="1" applyFont="1" applyFill="1" applyBorder="1" applyAlignment="1" applyProtection="1">
      <alignment horizontal="left" vertical="center"/>
      <protection/>
    </xf>
    <xf numFmtId="0" fontId="34" fillId="36" borderId="35" xfId="6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justify" vertical="top" wrapText="1"/>
    </xf>
    <xf numFmtId="49" fontId="17" fillId="0" borderId="36" xfId="0" applyNumberFormat="1" applyFont="1" applyBorder="1" applyAlignment="1">
      <alignment horizontal="justify" wrapText="1"/>
    </xf>
    <xf numFmtId="0" fontId="17" fillId="0" borderId="37" xfId="0" applyFont="1" applyBorder="1" applyAlignment="1">
      <alignment horizontal="justify" wrapText="1"/>
    </xf>
    <xf numFmtId="0" fontId="17" fillId="0" borderId="38" xfId="0" applyFont="1" applyBorder="1" applyAlignment="1">
      <alignment horizontal="justify" wrapText="1"/>
    </xf>
    <xf numFmtId="0" fontId="17" fillId="0" borderId="18" xfId="0" applyFont="1" applyFill="1" applyBorder="1" applyAlignment="1">
      <alignment wrapText="1"/>
    </xf>
    <xf numFmtId="0" fontId="17" fillId="0" borderId="0" xfId="0" applyFont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173" fontId="17" fillId="0" borderId="18" xfId="0" applyNumberFormat="1" applyFont="1" applyBorder="1" applyAlignment="1">
      <alignment horizontal="right" wrapText="1"/>
    </xf>
    <xf numFmtId="0" fontId="17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/>
    </xf>
    <xf numFmtId="0" fontId="5" fillId="0" borderId="3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39" xfId="0" applyNumberFormat="1" applyFont="1" applyFill="1" applyBorder="1" applyAlignment="1">
      <alignment wrapText="1"/>
    </xf>
    <xf numFmtId="37" fontId="5" fillId="0" borderId="4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37" fontId="5" fillId="0" borderId="39" xfId="0" applyNumberFormat="1" applyFont="1" applyFill="1" applyBorder="1" applyAlignment="1">
      <alignment/>
    </xf>
    <xf numFmtId="49" fontId="5" fillId="0" borderId="40" xfId="0" applyNumberFormat="1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justify" vertical="top" wrapText="1"/>
    </xf>
    <xf numFmtId="0" fontId="0" fillId="0" borderId="27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39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top" wrapText="1"/>
    </xf>
    <xf numFmtId="0" fontId="5" fillId="36" borderId="16" xfId="0" applyNumberFormat="1" applyFont="1" applyFill="1" applyBorder="1" applyAlignment="1" applyProtection="1">
      <alignment horizontal="center" vertical="center"/>
      <protection locked="0"/>
    </xf>
    <xf numFmtId="190" fontId="5" fillId="36" borderId="41" xfId="0" applyNumberFormat="1" applyFont="1" applyFill="1" applyBorder="1" applyAlignment="1">
      <alignment horizontal="center" vertical="center"/>
    </xf>
    <xf numFmtId="190" fontId="38" fillId="36" borderId="42" xfId="0" applyNumberFormat="1" applyFont="1" applyFill="1" applyBorder="1" applyAlignment="1" applyProtection="1">
      <alignment horizontal="center"/>
      <protection locked="0"/>
    </xf>
    <xf numFmtId="190" fontId="38" fillId="36" borderId="43" xfId="0" applyNumberFormat="1" applyFont="1" applyFill="1" applyBorder="1" applyAlignment="1" applyProtection="1">
      <alignment horizontal="center"/>
      <protection locked="0"/>
    </xf>
    <xf numFmtId="190" fontId="38" fillId="36" borderId="44" xfId="0" applyNumberFormat="1" applyFont="1" applyFill="1" applyBorder="1" applyAlignment="1" applyProtection="1">
      <alignment horizontal="center"/>
      <protection locked="0"/>
    </xf>
    <xf numFmtId="190" fontId="38" fillId="36" borderId="45" xfId="0" applyNumberFormat="1" applyFont="1" applyFill="1" applyBorder="1" applyAlignment="1" applyProtection="1">
      <alignment horizontal="center"/>
      <protection locked="0"/>
    </xf>
    <xf numFmtId="0" fontId="5" fillId="36" borderId="0" xfId="0" applyNumberFormat="1" applyFont="1" applyFill="1" applyBorder="1" applyAlignment="1" applyProtection="1">
      <alignment horizontal="center" vertical="center"/>
      <protection locked="0"/>
    </xf>
    <xf numFmtId="189" fontId="5" fillId="36" borderId="46" xfId="47" applyFont="1" applyFill="1" applyBorder="1" applyAlignment="1">
      <alignment horizontal="center" vertical="center"/>
    </xf>
    <xf numFmtId="190" fontId="5" fillId="36" borderId="10" xfId="0" applyNumberFormat="1" applyFont="1" applyFill="1" applyBorder="1" applyAlignment="1">
      <alignment horizontal="center" vertical="center"/>
    </xf>
    <xf numFmtId="190" fontId="5" fillId="36" borderId="11" xfId="0" applyNumberFormat="1" applyFont="1" applyFill="1" applyBorder="1" applyAlignment="1">
      <alignment horizontal="center" vertical="center"/>
    </xf>
    <xf numFmtId="0" fontId="5" fillId="36" borderId="35" xfId="50" applyFont="1" applyFill="1" applyBorder="1" applyAlignment="1">
      <alignment vertical="center"/>
      <protection/>
    </xf>
    <xf numFmtId="0" fontId="5" fillId="36" borderId="35" xfId="50" applyNumberFormat="1" applyFont="1" applyFill="1" applyBorder="1" applyAlignment="1">
      <alignment vertical="center" wrapText="1"/>
      <protection/>
    </xf>
    <xf numFmtId="43" fontId="38" fillId="36" borderId="10" xfId="0" applyNumberFormat="1" applyFont="1" applyFill="1" applyBorder="1" applyAlignment="1" applyProtection="1">
      <alignment horizontal="right"/>
      <protection locked="0"/>
    </xf>
    <xf numFmtId="0" fontId="5" fillId="36" borderId="15" xfId="50" applyFont="1" applyFill="1" applyBorder="1" applyAlignment="1">
      <alignment vertical="center"/>
      <protection/>
    </xf>
    <xf numFmtId="0" fontId="5" fillId="36" borderId="15" xfId="50" applyNumberFormat="1" applyFont="1" applyFill="1" applyBorder="1" applyAlignment="1">
      <alignment vertical="center" wrapText="1"/>
      <protection/>
    </xf>
    <xf numFmtId="43" fontId="5" fillId="36" borderId="15" xfId="0" applyNumberFormat="1" applyFont="1" applyFill="1" applyBorder="1" applyAlignment="1">
      <alignment/>
    </xf>
    <xf numFmtId="0" fontId="0" fillId="36" borderId="15" xfId="50" applyFont="1" applyFill="1" applyBorder="1" applyAlignment="1">
      <alignment vertical="center"/>
      <protection/>
    </xf>
    <xf numFmtId="0" fontId="0" fillId="36" borderId="15" xfId="50" applyNumberFormat="1" applyFont="1" applyFill="1" applyBorder="1" applyAlignment="1">
      <alignment vertical="center" wrapText="1"/>
      <protection/>
    </xf>
    <xf numFmtId="43" fontId="0" fillId="36" borderId="15" xfId="0" applyNumberFormat="1" applyFont="1" applyFill="1" applyBorder="1" applyAlignment="1">
      <alignment/>
    </xf>
    <xf numFmtId="206" fontId="0" fillId="36" borderId="15" xfId="50" applyNumberFormat="1" applyFont="1" applyFill="1" applyBorder="1" applyAlignment="1">
      <alignment vertical="center" wrapText="1"/>
      <protection/>
    </xf>
    <xf numFmtId="0" fontId="0" fillId="36" borderId="40" xfId="50" applyFont="1" applyFill="1" applyBorder="1" applyAlignment="1">
      <alignment vertical="center"/>
      <protection/>
    </xf>
    <xf numFmtId="177" fontId="0" fillId="36" borderId="15" xfId="0" applyNumberFormat="1" applyFont="1" applyFill="1" applyBorder="1" applyAlignment="1">
      <alignment/>
    </xf>
    <xf numFmtId="177" fontId="5" fillId="36" borderId="15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177" fontId="1" fillId="36" borderId="15" xfId="0" applyNumberFormat="1" applyFont="1" applyFill="1" applyBorder="1" applyAlignment="1">
      <alignment/>
    </xf>
    <xf numFmtId="0" fontId="10" fillId="36" borderId="16" xfId="0" applyNumberFormat="1" applyFont="1" applyFill="1" applyBorder="1" applyAlignment="1" applyProtection="1">
      <alignment horizontal="center" vertical="center"/>
      <protection locked="0"/>
    </xf>
    <xf numFmtId="190" fontId="1" fillId="36" borderId="41" xfId="0" applyNumberFormat="1" applyFont="1" applyFill="1" applyBorder="1" applyAlignment="1">
      <alignment horizontal="center" vertical="center"/>
    </xf>
    <xf numFmtId="190" fontId="10" fillId="36" borderId="42" xfId="0" applyNumberFormat="1" applyFont="1" applyFill="1" applyBorder="1" applyAlignment="1" applyProtection="1">
      <alignment horizontal="center"/>
      <protection locked="0"/>
    </xf>
    <xf numFmtId="190" fontId="10" fillId="36" borderId="43" xfId="0" applyNumberFormat="1" applyFont="1" applyFill="1" applyBorder="1" applyAlignment="1" applyProtection="1">
      <alignment horizontal="center"/>
      <protection locked="0"/>
    </xf>
    <xf numFmtId="190" fontId="10" fillId="36" borderId="44" xfId="0" applyNumberFormat="1" applyFont="1" applyFill="1" applyBorder="1" applyAlignment="1" applyProtection="1">
      <alignment horizontal="center"/>
      <protection locked="0"/>
    </xf>
    <xf numFmtId="190" fontId="10" fillId="36" borderId="45" xfId="0" applyNumberFormat="1" applyFont="1" applyFill="1" applyBorder="1" applyAlignment="1" applyProtection="1">
      <alignment horizontal="center"/>
      <protection locked="0"/>
    </xf>
    <xf numFmtId="0" fontId="10" fillId="36" borderId="0" xfId="0" applyNumberFormat="1" applyFont="1" applyFill="1" applyBorder="1" applyAlignment="1" applyProtection="1">
      <alignment horizontal="center" vertical="center"/>
      <protection locked="0"/>
    </xf>
    <xf numFmtId="189" fontId="1" fillId="36" borderId="46" xfId="47" applyFont="1" applyFill="1" applyBorder="1" applyAlignment="1">
      <alignment horizontal="center" vertical="center"/>
    </xf>
    <xf numFmtId="190" fontId="1" fillId="36" borderId="10" xfId="0" applyNumberFormat="1" applyFont="1" applyFill="1" applyBorder="1" applyAlignment="1">
      <alignment horizontal="center" vertical="center"/>
    </xf>
    <xf numFmtId="190" fontId="1" fillId="36" borderId="11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177" fontId="2" fillId="36" borderId="15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177" fontId="2" fillId="39" borderId="15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177" fontId="6" fillId="36" borderId="15" xfId="0" applyNumberFormat="1" applyFont="1" applyFill="1" applyBorder="1" applyAlignment="1">
      <alignment/>
    </xf>
    <xf numFmtId="177" fontId="17" fillId="36" borderId="15" xfId="0" applyNumberFormat="1" applyFont="1" applyFill="1" applyBorder="1" applyAlignment="1">
      <alignment/>
    </xf>
    <xf numFmtId="0" fontId="6" fillId="36" borderId="15" xfId="0" applyFont="1" applyFill="1" applyBorder="1" applyAlignment="1">
      <alignment horizontal="left" vertical="center" wrapText="1"/>
    </xf>
    <xf numFmtId="177" fontId="6" fillId="36" borderId="15" xfId="0" applyNumberFormat="1" applyFont="1" applyFill="1" applyBorder="1" applyAlignment="1">
      <alignment horizontal="right"/>
    </xf>
    <xf numFmtId="0" fontId="17" fillId="36" borderId="47" xfId="0" applyFont="1" applyFill="1" applyBorder="1" applyAlignment="1">
      <alignment horizontal="center" vertical="top" wrapText="1"/>
    </xf>
    <xf numFmtId="0" fontId="17" fillId="36" borderId="48" xfId="0" applyFont="1" applyFill="1" applyBorder="1" applyAlignment="1">
      <alignment horizontal="center" vertical="top" wrapText="1"/>
    </xf>
    <xf numFmtId="0" fontId="17" fillId="36" borderId="49" xfId="0" applyFont="1" applyFill="1" applyBorder="1" applyAlignment="1">
      <alignment horizontal="center" wrapText="1"/>
    </xf>
    <xf numFmtId="0" fontId="17" fillId="36" borderId="50" xfId="0" applyFont="1" applyFill="1" applyBorder="1" applyAlignment="1">
      <alignment horizontal="center" vertical="top" wrapText="1"/>
    </xf>
    <xf numFmtId="0" fontId="17" fillId="36" borderId="51" xfId="0" applyFont="1" applyFill="1" applyBorder="1" applyAlignment="1">
      <alignment horizontal="center" vertical="top" wrapText="1"/>
    </xf>
    <xf numFmtId="0" fontId="17" fillId="36" borderId="37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52" xfId="0" applyFont="1" applyFill="1" applyBorder="1" applyAlignment="1">
      <alignment horizontal="center" vertical="top" wrapText="1"/>
    </xf>
    <xf numFmtId="0" fontId="17" fillId="36" borderId="53" xfId="0" applyFont="1" applyFill="1" applyBorder="1" applyAlignment="1">
      <alignment vertical="top" wrapText="1"/>
    </xf>
    <xf numFmtId="0" fontId="17" fillId="36" borderId="53" xfId="0" applyFont="1" applyFill="1" applyBorder="1" applyAlignment="1">
      <alignment horizontal="center" vertical="top" wrapText="1"/>
    </xf>
    <xf numFmtId="0" fontId="17" fillId="36" borderId="54" xfId="0" applyFont="1" applyFill="1" applyBorder="1" applyAlignment="1">
      <alignment horizontal="center" wrapText="1"/>
    </xf>
    <xf numFmtId="0" fontId="17" fillId="36" borderId="17" xfId="0" applyFont="1" applyFill="1" applyBorder="1" applyAlignment="1">
      <alignment wrapText="1"/>
    </xf>
    <xf numFmtId="43" fontId="17" fillId="40" borderId="17" xfId="0" applyNumberFormat="1" applyFont="1" applyFill="1" applyBorder="1" applyAlignment="1">
      <alignment wrapText="1"/>
    </xf>
    <xf numFmtId="4" fontId="17" fillId="40" borderId="17" xfId="0" applyNumberFormat="1" applyFont="1" applyFill="1" applyBorder="1" applyAlignment="1">
      <alignment wrapText="1"/>
    </xf>
    <xf numFmtId="0" fontId="17" fillId="36" borderId="17" xfId="0" applyFont="1" applyFill="1" applyBorder="1" applyAlignment="1">
      <alignment vertical="top" wrapText="1"/>
    </xf>
    <xf numFmtId="0" fontId="17" fillId="36" borderId="25" xfId="0" applyFont="1" applyFill="1" applyBorder="1" applyAlignment="1">
      <alignment vertical="top" wrapText="1"/>
    </xf>
    <xf numFmtId="177" fontId="17" fillId="36" borderId="34" xfId="0" applyNumberFormat="1" applyFont="1" applyFill="1" applyBorder="1" applyAlignment="1">
      <alignment vertical="top" wrapText="1"/>
    </xf>
    <xf numFmtId="0" fontId="17" fillId="36" borderId="15" xfId="0" applyFont="1" applyFill="1" applyBorder="1" applyAlignment="1">
      <alignment horizontal="center" vertical="center" wrapText="1"/>
    </xf>
    <xf numFmtId="43" fontId="0" fillId="36" borderId="23" xfId="0" applyNumberFormat="1" applyFont="1" applyFill="1" applyBorder="1" applyAlignment="1">
      <alignment horizontal="right" wrapText="1"/>
    </xf>
    <xf numFmtId="10" fontId="0" fillId="0" borderId="2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3" fontId="0" fillId="0" borderId="23" xfId="0" applyNumberFormat="1" applyFont="1" applyFill="1" applyBorder="1" applyAlignment="1">
      <alignment horizontal="right" wrapText="1"/>
    </xf>
    <xf numFmtId="17" fontId="0" fillId="0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54" xfId="0" applyFont="1" applyFill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173" fontId="0" fillId="0" borderId="56" xfId="0" applyNumberFormat="1" applyFont="1" applyFill="1" applyBorder="1" applyAlignment="1">
      <alignment horizontal="right" wrapText="1"/>
    </xf>
    <xf numFmtId="0" fontId="0" fillId="36" borderId="4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wrapText="1"/>
    </xf>
    <xf numFmtId="177" fontId="0" fillId="0" borderId="17" xfId="0" applyNumberFormat="1" applyFont="1" applyFill="1" applyBorder="1" applyAlignment="1">
      <alignment wrapText="1"/>
    </xf>
    <xf numFmtId="177" fontId="0" fillId="36" borderId="17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177" fontId="0" fillId="0" borderId="25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 horizontal="center" wrapText="1"/>
    </xf>
    <xf numFmtId="177" fontId="0" fillId="36" borderId="25" xfId="0" applyNumberFormat="1" applyFont="1" applyFill="1" applyBorder="1" applyAlignment="1">
      <alignment wrapText="1"/>
    </xf>
    <xf numFmtId="0" fontId="0" fillId="36" borderId="15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left"/>
    </xf>
    <xf numFmtId="0" fontId="6" fillId="0" borderId="18" xfId="0" applyFont="1" applyFill="1" applyBorder="1" applyAlignment="1">
      <alignment wrapText="1"/>
    </xf>
    <xf numFmtId="173" fontId="17" fillId="0" borderId="18" xfId="0" applyNumberFormat="1" applyFont="1" applyFill="1" applyBorder="1" applyAlignment="1">
      <alignment horizontal="right" wrapText="1"/>
    </xf>
    <xf numFmtId="0" fontId="6" fillId="36" borderId="17" xfId="0" applyFont="1" applyFill="1" applyBorder="1" applyAlignment="1">
      <alignment vertical="top" wrapText="1"/>
    </xf>
    <xf numFmtId="177" fontId="6" fillId="36" borderId="34" xfId="0" applyNumberFormat="1" applyFont="1" applyFill="1" applyBorder="1" applyAlignment="1">
      <alignment vertical="top" wrapText="1"/>
    </xf>
    <xf numFmtId="0" fontId="6" fillId="36" borderId="25" xfId="0" applyFont="1" applyFill="1" applyBorder="1" applyAlignment="1">
      <alignment vertical="top" wrapText="1"/>
    </xf>
    <xf numFmtId="177" fontId="6" fillId="36" borderId="35" xfId="0" applyNumberFormat="1" applyFont="1" applyFill="1" applyBorder="1" applyAlignment="1">
      <alignment vertical="top" wrapText="1"/>
    </xf>
    <xf numFmtId="177" fontId="17" fillId="0" borderId="35" xfId="0" applyNumberFormat="1" applyFont="1" applyFill="1" applyBorder="1" applyAlignment="1">
      <alignment vertical="top" wrapText="1"/>
    </xf>
    <xf numFmtId="177" fontId="17" fillId="0" borderId="34" xfId="0" applyNumberFormat="1" applyFont="1" applyFill="1" applyBorder="1" applyAlignment="1">
      <alignment vertical="top" wrapText="1"/>
    </xf>
    <xf numFmtId="177" fontId="6" fillId="36" borderId="35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177" fontId="6" fillId="34" borderId="0" xfId="0" applyNumberFormat="1" applyFont="1" applyFill="1" applyAlignment="1" applyProtection="1">
      <alignment vertical="top" wrapText="1"/>
      <protection locked="0"/>
    </xf>
    <xf numFmtId="0" fontId="17" fillId="0" borderId="17" xfId="0" applyFont="1" applyBorder="1" applyAlignment="1">
      <alignment vertical="top" wrapText="1"/>
    </xf>
    <xf numFmtId="177" fontId="17" fillId="0" borderId="0" xfId="0" applyNumberFormat="1" applyFont="1" applyAlignment="1" applyProtection="1">
      <alignment vertical="top" wrapText="1"/>
      <protection locked="0"/>
    </xf>
    <xf numFmtId="0" fontId="17" fillId="0" borderId="25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177" fontId="6" fillId="34" borderId="27" xfId="0" applyNumberFormat="1" applyFont="1" applyFill="1" applyBorder="1" applyAlignment="1" applyProtection="1">
      <alignment vertical="top" wrapText="1"/>
      <protection locked="0"/>
    </xf>
    <xf numFmtId="177" fontId="17" fillId="0" borderId="27" xfId="0" applyNumberFormat="1" applyFont="1" applyBorder="1" applyAlignment="1" applyProtection="1">
      <alignment vertical="top" wrapText="1"/>
      <protection locked="0"/>
    </xf>
    <xf numFmtId="177" fontId="6" fillId="34" borderId="27" xfId="0" applyNumberFormat="1" applyFont="1" applyFill="1" applyBorder="1" applyAlignment="1" applyProtection="1">
      <alignment horizontal="right" vertical="top" wrapText="1"/>
      <protection locked="0"/>
    </xf>
    <xf numFmtId="0" fontId="6" fillId="36" borderId="15" xfId="0" applyFont="1" applyFill="1" applyBorder="1" applyAlignment="1">
      <alignment horizontal="center" wrapText="1"/>
    </xf>
    <xf numFmtId="0" fontId="17" fillId="36" borderId="15" xfId="0" applyFont="1" applyFill="1" applyBorder="1" applyAlignment="1">
      <alignment horizontal="left" wrapText="1"/>
    </xf>
    <xf numFmtId="177" fontId="17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0" fontId="6" fillId="36" borderId="33" xfId="0" applyFont="1" applyFill="1" applyBorder="1" applyAlignment="1">
      <alignment horizontal="left" wrapText="1"/>
    </xf>
    <xf numFmtId="177" fontId="6" fillId="36" borderId="33" xfId="0" applyNumberFormat="1" applyFont="1" applyFill="1" applyBorder="1" applyAlignment="1">
      <alignment horizontal="justify" vertical="top" wrapText="1"/>
    </xf>
    <xf numFmtId="0" fontId="6" fillId="36" borderId="15" xfId="0" applyFont="1" applyFill="1" applyBorder="1" applyAlignment="1">
      <alignment horizontal="left" wrapText="1"/>
    </xf>
    <xf numFmtId="177" fontId="6" fillId="36" borderId="15" xfId="0" applyNumberFormat="1" applyFont="1" applyFill="1" applyBorder="1" applyAlignment="1">
      <alignment horizontal="justify" vertical="top" wrapText="1"/>
    </xf>
    <xf numFmtId="177" fontId="17" fillId="36" borderId="15" xfId="0" applyNumberFormat="1" applyFont="1" applyFill="1" applyBorder="1" applyAlignment="1">
      <alignment horizontal="justify" vertical="top" wrapText="1"/>
    </xf>
    <xf numFmtId="0" fontId="0" fillId="0" borderId="58" xfId="0" applyFont="1" applyFill="1" applyBorder="1" applyAlignment="1">
      <alignment wrapText="1"/>
    </xf>
    <xf numFmtId="43" fontId="0" fillId="0" borderId="15" xfId="0" applyNumberFormat="1" applyFont="1" applyFill="1" applyBorder="1" applyAlignment="1">
      <alignment wrapText="1"/>
    </xf>
    <xf numFmtId="43" fontId="0" fillId="0" borderId="15" xfId="0" applyNumberFormat="1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>
      <alignment wrapText="1"/>
    </xf>
    <xf numFmtId="0" fontId="5" fillId="41" borderId="15" xfId="50" applyFont="1" applyFill="1" applyBorder="1" applyAlignment="1">
      <alignment vertical="center"/>
      <protection/>
    </xf>
    <xf numFmtId="0" fontId="5" fillId="41" borderId="15" xfId="50" applyNumberFormat="1" applyFont="1" applyFill="1" applyBorder="1" applyAlignment="1">
      <alignment vertical="center" wrapText="1"/>
      <protection/>
    </xf>
    <xf numFmtId="43" fontId="5" fillId="41" borderId="15" xfId="0" applyNumberFormat="1" applyFont="1" applyFill="1" applyBorder="1" applyAlignment="1">
      <alignment/>
    </xf>
    <xf numFmtId="0" fontId="0" fillId="36" borderId="15" xfId="50" applyFont="1" applyFill="1" applyBorder="1" applyAlignment="1">
      <alignment vertical="center" wrapText="1"/>
      <protection/>
    </xf>
    <xf numFmtId="0" fontId="5" fillId="38" borderId="15" xfId="50" applyFont="1" applyFill="1" applyBorder="1" applyAlignment="1">
      <alignment vertical="center"/>
      <protection/>
    </xf>
    <xf numFmtId="0" fontId="5" fillId="38" borderId="15" xfId="50" applyNumberFormat="1" applyFont="1" applyFill="1" applyBorder="1" applyAlignment="1">
      <alignment vertical="center" wrapText="1"/>
      <protection/>
    </xf>
    <xf numFmtId="43" fontId="5" fillId="38" borderId="15" xfId="0" applyNumberFormat="1" applyFont="1" applyFill="1" applyBorder="1" applyAlignment="1">
      <alignment/>
    </xf>
    <xf numFmtId="43" fontId="0" fillId="33" borderId="15" xfId="0" applyNumberFormat="1" applyFont="1" applyFill="1" applyBorder="1" applyAlignment="1">
      <alignment/>
    </xf>
    <xf numFmtId="3" fontId="41" fillId="36" borderId="15" xfId="0" applyNumberFormat="1" applyFont="1" applyFill="1" applyBorder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1" fillId="33" borderId="15" xfId="0" applyNumberFormat="1" applyFont="1" applyFill="1" applyBorder="1" applyAlignment="1">
      <alignment/>
    </xf>
    <xf numFmtId="43" fontId="42" fillId="33" borderId="15" xfId="0" applyNumberFormat="1" applyFont="1" applyFill="1" applyBorder="1" applyAlignment="1" applyProtection="1">
      <alignment/>
      <protection locked="0"/>
    </xf>
    <xf numFmtId="0" fontId="42" fillId="33" borderId="15" xfId="0" applyNumberFormat="1" applyFont="1" applyFill="1" applyBorder="1" applyAlignment="1">
      <alignment/>
    </xf>
    <xf numFmtId="0" fontId="41" fillId="0" borderId="15" xfId="0" applyNumberFormat="1" applyFont="1" applyBorder="1" applyAlignment="1">
      <alignment/>
    </xf>
    <xf numFmtId="0" fontId="42" fillId="0" borderId="15" xfId="0" applyNumberFormat="1" applyFont="1" applyBorder="1" applyAlignment="1">
      <alignment/>
    </xf>
    <xf numFmtId="43" fontId="42" fillId="0" borderId="15" xfId="0" applyNumberFormat="1" applyFont="1" applyBorder="1" applyAlignment="1">
      <alignment/>
    </xf>
    <xf numFmtId="0" fontId="40" fillId="0" borderId="15" xfId="0" applyNumberFormat="1" applyFont="1" applyBorder="1" applyAlignment="1">
      <alignment/>
    </xf>
    <xf numFmtId="0" fontId="42" fillId="33" borderId="59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19" xfId="0" applyFont="1" applyFill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41" borderId="15" xfId="0" applyFont="1" applyFill="1" applyBorder="1" applyAlignment="1">
      <alignment/>
    </xf>
    <xf numFmtId="3" fontId="41" fillId="41" borderId="15" xfId="0" applyNumberFormat="1" applyFont="1" applyFill="1" applyBorder="1" applyAlignment="1">
      <alignment/>
    </xf>
    <xf numFmtId="0" fontId="42" fillId="33" borderId="60" xfId="0" applyFont="1" applyFill="1" applyBorder="1" applyAlignment="1">
      <alignment horizontal="justify" vertical="center" wrapText="1"/>
    </xf>
    <xf numFmtId="0" fontId="42" fillId="33" borderId="61" xfId="0" applyFont="1" applyFill="1" applyBorder="1" applyAlignment="1">
      <alignment horizontal="justify" vertical="center" wrapText="1"/>
    </xf>
    <xf numFmtId="0" fontId="41" fillId="34" borderId="15" xfId="0" applyFont="1" applyFill="1" applyBorder="1" applyAlignment="1">
      <alignment/>
    </xf>
    <xf numFmtId="43" fontId="41" fillId="34" borderId="15" xfId="0" applyNumberFormat="1" applyFont="1" applyFill="1" applyBorder="1" applyAlignment="1">
      <alignment/>
    </xf>
    <xf numFmtId="0" fontId="6" fillId="38" borderId="15" xfId="0" applyFont="1" applyFill="1" applyBorder="1" applyAlignment="1">
      <alignment/>
    </xf>
    <xf numFmtId="3" fontId="6" fillId="36" borderId="15" xfId="0" applyNumberFormat="1" applyFont="1" applyFill="1" applyBorder="1" applyAlignment="1">
      <alignment horizontal="center" wrapText="1"/>
    </xf>
    <xf numFmtId="177" fontId="6" fillId="38" borderId="15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0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 quotePrefix="1">
      <alignment horizontal="center" wrapText="1"/>
    </xf>
    <xf numFmtId="0" fontId="0" fillId="0" borderId="25" xfId="0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5" fillId="0" borderId="18" xfId="0" applyFont="1" applyFill="1" applyBorder="1" applyAlignment="1">
      <alignment wrapText="1"/>
    </xf>
    <xf numFmtId="177" fontId="45" fillId="0" borderId="17" xfId="0" applyNumberFormat="1" applyFont="1" applyFill="1" applyBorder="1" applyAlignment="1" applyProtection="1">
      <alignment wrapText="1"/>
      <protection locked="0"/>
    </xf>
    <xf numFmtId="177" fontId="45" fillId="0" borderId="25" xfId="0" applyNumberFormat="1" applyFont="1" applyFill="1" applyBorder="1" applyAlignment="1" applyProtection="1">
      <alignment wrapText="1"/>
      <protection locked="0"/>
    </xf>
    <xf numFmtId="173" fontId="45" fillId="0" borderId="18" xfId="0" applyNumberFormat="1" applyFont="1" applyFill="1" applyBorder="1" applyAlignment="1">
      <alignment horizontal="right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wrapText="1"/>
    </xf>
    <xf numFmtId="0" fontId="45" fillId="0" borderId="25" xfId="0" applyFont="1" applyFill="1" applyBorder="1" applyAlignment="1">
      <alignment wrapText="1"/>
    </xf>
    <xf numFmtId="0" fontId="46" fillId="0" borderId="25" xfId="0" applyFont="1" applyFill="1" applyBorder="1" applyAlignment="1">
      <alignment wrapText="1"/>
    </xf>
    <xf numFmtId="0" fontId="46" fillId="0" borderId="18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173" fontId="45" fillId="0" borderId="18" xfId="0" applyNumberFormat="1" applyFont="1" applyFill="1" applyBorder="1" applyAlignment="1">
      <alignment horizontal="right" vertical="top" wrapText="1"/>
    </xf>
    <xf numFmtId="177" fontId="45" fillId="0" borderId="15" xfId="0" applyNumberFormat="1" applyFont="1" applyFill="1" applyBorder="1" applyAlignment="1">
      <alignment horizontal="right" vertical="center" wrapText="1"/>
    </xf>
    <xf numFmtId="177" fontId="45" fillId="0" borderId="15" xfId="0" applyNumberFormat="1" applyFont="1" applyFill="1" applyBorder="1" applyAlignment="1" applyProtection="1">
      <alignment vertical="top" wrapText="1"/>
      <protection locked="0"/>
    </xf>
    <xf numFmtId="177" fontId="45" fillId="0" borderId="17" xfId="0" applyNumberFormat="1" applyFont="1" applyFill="1" applyBorder="1" applyAlignment="1" applyProtection="1">
      <alignment vertical="top" wrapText="1"/>
      <protection locked="0"/>
    </xf>
    <xf numFmtId="177" fontId="45" fillId="0" borderId="34" xfId="0" applyNumberFormat="1" applyFont="1" applyFill="1" applyBorder="1" applyAlignment="1" applyProtection="1">
      <alignment vertical="top" wrapText="1"/>
      <protection locked="0"/>
    </xf>
    <xf numFmtId="177" fontId="45" fillId="0" borderId="25" xfId="0" applyNumberFormat="1" applyFont="1" applyFill="1" applyBorder="1" applyAlignment="1" applyProtection="1">
      <alignment vertical="top" wrapText="1"/>
      <protection locked="0"/>
    </xf>
    <xf numFmtId="177" fontId="45" fillId="0" borderId="35" xfId="0" applyNumberFormat="1" applyFont="1" applyFill="1" applyBorder="1" applyAlignment="1" applyProtection="1">
      <alignment vertical="top" wrapText="1"/>
      <protection locked="0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vertical="top" wrapText="1"/>
    </xf>
    <xf numFmtId="0" fontId="45" fillId="0" borderId="17" xfId="0" applyFont="1" applyFill="1" applyBorder="1" applyAlignment="1">
      <alignment vertical="top" wrapText="1"/>
    </xf>
    <xf numFmtId="0" fontId="45" fillId="0" borderId="25" xfId="0" applyFont="1" applyFill="1" applyBorder="1" applyAlignment="1">
      <alignment vertical="top" wrapText="1"/>
    </xf>
    <xf numFmtId="0" fontId="45" fillId="0" borderId="29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39" fontId="0" fillId="42" borderId="15" xfId="0" applyNumberFormat="1" applyFont="1" applyFill="1" applyBorder="1" applyAlignment="1" applyProtection="1">
      <alignment horizontal="center"/>
      <protection/>
    </xf>
    <xf numFmtId="0" fontId="5" fillId="43" borderId="15" xfId="0" applyFont="1" applyFill="1" applyBorder="1" applyAlignment="1">
      <alignment horizontal="center"/>
    </xf>
    <xf numFmtId="0" fontId="5" fillId="44" borderId="15" xfId="0" applyFont="1" applyFill="1" applyBorder="1" applyAlignment="1" applyProtection="1">
      <alignment/>
      <protection locked="0"/>
    </xf>
    <xf numFmtId="10" fontId="0" fillId="43" borderId="15" xfId="0" applyNumberFormat="1" applyFont="1" applyFill="1" applyBorder="1" applyAlignment="1" applyProtection="1">
      <alignment horizontal="center"/>
      <protection/>
    </xf>
    <xf numFmtId="0" fontId="5" fillId="44" borderId="15" xfId="0" applyFont="1" applyFill="1" applyBorder="1" applyAlignment="1">
      <alignment/>
    </xf>
    <xf numFmtId="0" fontId="5" fillId="45" borderId="15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39" fontId="0" fillId="43" borderId="15" xfId="0" applyNumberFormat="1" applyFont="1" applyFill="1" applyBorder="1" applyAlignment="1" applyProtection="1">
      <alignment horizontal="center"/>
      <protection/>
    </xf>
    <xf numFmtId="10" fontId="0" fillId="42" borderId="15" xfId="0" applyNumberFormat="1" applyFont="1" applyFill="1" applyBorder="1" applyAlignment="1" applyProtection="1">
      <alignment horizontal="center"/>
      <protection/>
    </xf>
    <xf numFmtId="10" fontId="0" fillId="42" borderId="15" xfId="0" applyNumberFormat="1" applyFont="1" applyFill="1" applyBorder="1" applyAlignment="1" applyProtection="1">
      <alignment horizontal="center"/>
      <protection locked="0"/>
    </xf>
    <xf numFmtId="43" fontId="42" fillId="2" borderId="15" xfId="0" applyNumberFormat="1" applyFont="1" applyFill="1" applyBorder="1" applyAlignment="1" applyProtection="1">
      <alignment/>
      <protection locked="0"/>
    </xf>
    <xf numFmtId="43" fontId="42" fillId="2" borderId="15" xfId="0" applyNumberFormat="1" applyFont="1" applyFill="1" applyBorder="1" applyAlignment="1">
      <alignment/>
    </xf>
    <xf numFmtId="43" fontId="41" fillId="2" borderId="15" xfId="0" applyNumberFormat="1" applyFont="1" applyFill="1" applyBorder="1" applyAlignment="1">
      <alignment/>
    </xf>
    <xf numFmtId="43" fontId="40" fillId="2" borderId="15" xfId="0" applyNumberFormat="1" applyFont="1" applyFill="1" applyBorder="1" applyAlignment="1">
      <alignment/>
    </xf>
    <xf numFmtId="43" fontId="41" fillId="2" borderId="15" xfId="0" applyNumberFormat="1" applyFont="1" applyFill="1" applyBorder="1" applyAlignment="1" applyProtection="1">
      <alignment/>
      <protection locked="0"/>
    </xf>
    <xf numFmtId="43" fontId="0" fillId="2" borderId="17" xfId="0" applyNumberFormat="1" applyFont="1" applyFill="1" applyBorder="1" applyAlignment="1">
      <alignment horizontal="right" wrapText="1"/>
    </xf>
    <xf numFmtId="43" fontId="0" fillId="2" borderId="17" xfId="0" applyNumberFormat="1" applyFont="1" applyFill="1" applyBorder="1" applyAlignment="1" applyProtection="1">
      <alignment horizontal="right"/>
      <protection locked="0"/>
    </xf>
    <xf numFmtId="43" fontId="0" fillId="2" borderId="25" xfId="0" applyNumberFormat="1" applyFont="1" applyFill="1" applyBorder="1" applyAlignment="1" applyProtection="1">
      <alignment horizontal="right"/>
      <protection locked="0"/>
    </xf>
    <xf numFmtId="43" fontId="0" fillId="2" borderId="15" xfId="0" applyNumberFormat="1" applyFont="1" applyFill="1" applyBorder="1" applyAlignment="1">
      <alignment horizontal="right" wrapText="1"/>
    </xf>
    <xf numFmtId="10" fontId="0" fillId="2" borderId="15" xfId="0" applyNumberFormat="1" applyFont="1" applyFill="1" applyBorder="1" applyAlignment="1">
      <alignment wrapText="1"/>
    </xf>
    <xf numFmtId="43" fontId="0" fillId="2" borderId="15" xfId="0" applyNumberFormat="1" applyFont="1" applyFill="1" applyBorder="1" applyAlignment="1">
      <alignment vertical="top" wrapText="1"/>
    </xf>
    <xf numFmtId="10" fontId="0" fillId="2" borderId="15" xfId="0" applyNumberFormat="1" applyFont="1" applyFill="1" applyBorder="1" applyAlignment="1">
      <alignment horizontal="right" vertical="top" wrapText="1"/>
    </xf>
    <xf numFmtId="10" fontId="0" fillId="2" borderId="17" xfId="0" applyNumberFormat="1" applyFont="1" applyFill="1" applyBorder="1" applyAlignment="1">
      <alignment horizontal="right" vertical="top"/>
    </xf>
    <xf numFmtId="43" fontId="0" fillId="2" borderId="17" xfId="0" applyNumberFormat="1" applyFont="1" applyFill="1" applyBorder="1" applyAlignment="1">
      <alignment horizontal="right" vertical="top"/>
    </xf>
    <xf numFmtId="10" fontId="0" fillId="2" borderId="17" xfId="0" applyNumberFormat="1" applyFont="1" applyFill="1" applyBorder="1" applyAlignment="1">
      <alignment horizontal="right" vertical="top" wrapText="1"/>
    </xf>
    <xf numFmtId="43" fontId="0" fillId="2" borderId="17" xfId="0" applyNumberFormat="1" applyFont="1" applyFill="1" applyBorder="1" applyAlignment="1">
      <alignment horizontal="right"/>
    </xf>
    <xf numFmtId="43" fontId="0" fillId="2" borderId="25" xfId="0" applyNumberFormat="1" applyFont="1" applyFill="1" applyBorder="1" applyAlignment="1">
      <alignment horizontal="right"/>
    </xf>
    <xf numFmtId="177" fontId="45" fillId="2" borderId="17" xfId="0" applyNumberFormat="1" applyFont="1" applyFill="1" applyBorder="1" applyAlignment="1">
      <alignment wrapText="1"/>
    </xf>
    <xf numFmtId="10" fontId="45" fillId="2" borderId="17" xfId="0" applyNumberFormat="1" applyFont="1" applyFill="1" applyBorder="1" applyAlignment="1">
      <alignment wrapText="1"/>
    </xf>
    <xf numFmtId="177" fontId="45" fillId="2" borderId="17" xfId="0" applyNumberFormat="1" applyFont="1" applyFill="1" applyBorder="1" applyAlignment="1" applyProtection="1">
      <alignment wrapText="1"/>
      <protection locked="0"/>
    </xf>
    <xf numFmtId="177" fontId="45" fillId="2" borderId="25" xfId="0" applyNumberFormat="1" applyFont="1" applyFill="1" applyBorder="1" applyAlignment="1" applyProtection="1">
      <alignment wrapText="1"/>
      <protection locked="0"/>
    </xf>
    <xf numFmtId="10" fontId="45" fillId="2" borderId="25" xfId="0" applyNumberFormat="1" applyFont="1" applyFill="1" applyBorder="1" applyAlignment="1">
      <alignment wrapText="1"/>
    </xf>
    <xf numFmtId="177" fontId="45" fillId="2" borderId="25" xfId="0" applyNumberFormat="1" applyFont="1" applyFill="1" applyBorder="1" applyAlignment="1">
      <alignment wrapText="1"/>
    </xf>
    <xf numFmtId="177" fontId="45" fillId="42" borderId="17" xfId="0" applyNumberFormat="1" applyFont="1" applyFill="1" applyBorder="1" applyAlignment="1" applyProtection="1">
      <alignment wrapText="1"/>
      <protection locked="0"/>
    </xf>
    <xf numFmtId="177" fontId="45" fillId="2" borderId="17" xfId="0" applyNumberFormat="1" applyFont="1" applyFill="1" applyBorder="1" applyAlignment="1">
      <alignment horizontal="center" vertical="center" wrapText="1"/>
    </xf>
    <xf numFmtId="177" fontId="46" fillId="2" borderId="15" xfId="0" applyNumberFormat="1" applyFont="1" applyFill="1" applyBorder="1" applyAlignment="1">
      <alignment vertical="top" wrapText="1"/>
    </xf>
    <xf numFmtId="177" fontId="45" fillId="2" borderId="15" xfId="0" applyNumberFormat="1" applyFont="1" applyFill="1" applyBorder="1" applyAlignment="1" applyProtection="1">
      <alignment vertical="top" wrapText="1"/>
      <protection locked="0"/>
    </xf>
    <xf numFmtId="43" fontId="45" fillId="2" borderId="33" xfId="0" applyNumberFormat="1" applyFont="1" applyFill="1" applyBorder="1" applyAlignment="1" applyProtection="1">
      <alignment vertical="top" wrapText="1"/>
      <protection locked="0"/>
    </xf>
    <xf numFmtId="177" fontId="45" fillId="2" borderId="17" xfId="0" applyNumberFormat="1" applyFont="1" applyFill="1" applyBorder="1" applyAlignment="1">
      <alignment vertical="top" wrapText="1"/>
    </xf>
    <xf numFmtId="177" fontId="45" fillId="2" borderId="34" xfId="0" applyNumberFormat="1" applyFont="1" applyFill="1" applyBorder="1" applyAlignment="1">
      <alignment vertical="top" wrapText="1"/>
    </xf>
    <xf numFmtId="177" fontId="45" fillId="2" borderId="25" xfId="0" applyNumberFormat="1" applyFont="1" applyFill="1" applyBorder="1" applyAlignment="1" applyProtection="1">
      <alignment vertical="top" wrapText="1"/>
      <protection locked="0"/>
    </xf>
    <xf numFmtId="177" fontId="45" fillId="2" borderId="35" xfId="0" applyNumberFormat="1" applyFont="1" applyFill="1" applyBorder="1" applyAlignment="1" applyProtection="1">
      <alignment vertical="top" wrapText="1"/>
      <protection locked="0"/>
    </xf>
    <xf numFmtId="177" fontId="45" fillId="2" borderId="15" xfId="0" applyNumberFormat="1" applyFont="1" applyFill="1" applyBorder="1" applyAlignment="1">
      <alignment vertical="top" wrapText="1"/>
    </xf>
    <xf numFmtId="10" fontId="0" fillId="0" borderId="22" xfId="0" applyNumberFormat="1" applyFont="1" applyFill="1" applyBorder="1" applyAlignment="1">
      <alignment horizontal="center" wrapText="1"/>
    </xf>
    <xf numFmtId="10" fontId="0" fillId="43" borderId="15" xfId="0" applyNumberFormat="1" applyFont="1" applyFill="1" applyBorder="1" applyAlignment="1" applyProtection="1">
      <alignment horizontal="center"/>
      <protection locked="0"/>
    </xf>
    <xf numFmtId="10" fontId="0" fillId="43" borderId="15" xfId="0" applyNumberFormat="1" applyFont="1" applyFill="1" applyBorder="1" applyAlignment="1">
      <alignment horizontal="center"/>
    </xf>
    <xf numFmtId="39" fontId="0" fillId="43" borderId="15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wrapText="1"/>
    </xf>
    <xf numFmtId="167" fontId="0" fillId="0" borderId="23" xfId="0" applyNumberFormat="1" applyFont="1" applyFill="1" applyBorder="1" applyAlignment="1">
      <alignment wrapText="1"/>
    </xf>
    <xf numFmtId="167" fontId="0" fillId="0" borderId="23" xfId="0" applyNumberFormat="1" applyFont="1" applyFill="1" applyBorder="1" applyAlignment="1">
      <alignment horizontal="right" wrapText="1"/>
    </xf>
    <xf numFmtId="43" fontId="0" fillId="0" borderId="62" xfId="0" applyNumberFormat="1" applyFont="1" applyFill="1" applyBorder="1" applyAlignment="1">
      <alignment horizontal="right" wrapText="1"/>
    </xf>
    <xf numFmtId="43" fontId="0" fillId="0" borderId="60" xfId="0" applyNumberFormat="1" applyFont="1" applyFill="1" applyBorder="1" applyAlignment="1">
      <alignment horizontal="center" wrapText="1"/>
    </xf>
    <xf numFmtId="43" fontId="0" fillId="0" borderId="61" xfId="0" applyNumberFormat="1" applyFont="1" applyFill="1" applyBorder="1" applyAlignment="1">
      <alignment horizontal="right" wrapText="1"/>
    </xf>
    <xf numFmtId="43" fontId="0" fillId="0" borderId="60" xfId="0" applyNumberFormat="1" applyFont="1" applyFill="1" applyBorder="1" applyAlignment="1">
      <alignment horizontal="right" wrapText="1"/>
    </xf>
    <xf numFmtId="167" fontId="0" fillId="0" borderId="6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wrapText="1"/>
    </xf>
    <xf numFmtId="14" fontId="0" fillId="0" borderId="2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20" fillId="0" borderId="36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33" fillId="37" borderId="0" xfId="0" applyNumberFormat="1" applyFont="1" applyFill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38" fontId="33" fillId="38" borderId="0" xfId="0" applyNumberFormat="1" applyFont="1" applyFill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horizontal="center" vertical="center" wrapText="1"/>
      <protection/>
    </xf>
    <xf numFmtId="0" fontId="33" fillId="37" borderId="27" xfId="0" applyFont="1" applyFill="1" applyBorder="1" applyAlignment="1" applyProtection="1">
      <alignment horizontal="center" vertical="center"/>
      <protection/>
    </xf>
    <xf numFmtId="0" fontId="5" fillId="38" borderId="27" xfId="0" applyFont="1" applyFill="1" applyBorder="1" applyAlignment="1">
      <alignment vertical="center"/>
    </xf>
    <xf numFmtId="49" fontId="33" fillId="36" borderId="16" xfId="0" applyNumberFormat="1" applyFont="1" applyFill="1" applyBorder="1" applyAlignment="1" applyProtection="1">
      <alignment horizontal="center" vertical="center" wrapText="1"/>
      <protection/>
    </xf>
    <xf numFmtId="0" fontId="33" fillId="36" borderId="25" xfId="0" applyFont="1" applyFill="1" applyBorder="1" applyAlignment="1" applyProtection="1">
      <alignment horizontal="center" vertical="center" wrapText="1"/>
      <protection/>
    </xf>
    <xf numFmtId="0" fontId="33" fillId="36" borderId="26" xfId="0" applyFont="1" applyFill="1" applyBorder="1" applyAlignment="1" applyProtection="1">
      <alignment horizontal="center" vertical="center" wrapText="1"/>
      <protection/>
    </xf>
    <xf numFmtId="38" fontId="33" fillId="36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33" fillId="36" borderId="0" xfId="0" applyNumberFormat="1" applyFont="1" applyFill="1" applyAlignment="1" applyProtection="1">
      <alignment horizontal="center" vertical="center" wrapText="1"/>
      <protection/>
    </xf>
    <xf numFmtId="0" fontId="36" fillId="38" borderId="27" xfId="0" applyFont="1" applyFill="1" applyBorder="1" applyAlignment="1">
      <alignment horizontal="center" wrapText="1"/>
    </xf>
    <xf numFmtId="0" fontId="5" fillId="38" borderId="27" xfId="0" applyFont="1" applyFill="1" applyBorder="1" applyAlignment="1">
      <alignment horizontal="center" wrapText="1"/>
    </xf>
    <xf numFmtId="0" fontId="33" fillId="36" borderId="26" xfId="63" applyNumberFormat="1" applyFont="1" applyFill="1" applyBorder="1" applyAlignment="1" applyProtection="1">
      <alignment horizontal="center" vertical="center"/>
      <protection/>
    </xf>
    <xf numFmtId="0" fontId="16" fillId="0" borderId="39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40" xfId="0" applyBorder="1" applyAlignment="1">
      <alignment wrapText="1"/>
    </xf>
    <xf numFmtId="0" fontId="6" fillId="36" borderId="15" xfId="0" applyFont="1" applyFill="1" applyBorder="1" applyAlignment="1">
      <alignment horizontal="center" vertical="center" wrapText="1"/>
    </xf>
    <xf numFmtId="38" fontId="14" fillId="0" borderId="36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41" fillId="36" borderId="15" xfId="0" applyFont="1" applyFill="1" applyBorder="1" applyAlignment="1">
      <alignment horizontal="center" vertical="center" wrapText="1"/>
    </xf>
    <xf numFmtId="38" fontId="41" fillId="0" borderId="36" xfId="0" applyNumberFormat="1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38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203" fontId="21" fillId="0" borderId="33" xfId="0" applyNumberFormat="1" applyFont="1" applyFill="1" applyBorder="1" applyAlignment="1">
      <alignment textRotation="90" wrapText="1"/>
    </xf>
    <xf numFmtId="203" fontId="21" fillId="0" borderId="34" xfId="0" applyNumberFormat="1" applyFont="1" applyFill="1" applyBorder="1" applyAlignment="1">
      <alignment textRotation="90" wrapText="1"/>
    </xf>
    <xf numFmtId="203" fontId="21" fillId="0" borderId="35" xfId="0" applyNumberFormat="1" applyFont="1" applyFill="1" applyBorder="1" applyAlignment="1">
      <alignment textRotation="90" wrapText="1"/>
    </xf>
    <xf numFmtId="173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17" fillId="36" borderId="29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55" xfId="0" applyFont="1" applyBorder="1" applyAlignment="1">
      <alignment wrapText="1"/>
    </xf>
    <xf numFmtId="203" fontId="17" fillId="40" borderId="33" xfId="0" applyNumberFormat="1" applyFont="1" applyFill="1" applyBorder="1" applyAlignment="1">
      <alignment textRotation="90" wrapText="1"/>
    </xf>
    <xf numFmtId="0" fontId="0" fillId="0" borderId="34" xfId="0" applyBorder="1" applyAlignment="1">
      <alignment textRotation="90" wrapText="1"/>
    </xf>
    <xf numFmtId="0" fontId="0" fillId="0" borderId="35" xfId="0" applyBorder="1" applyAlignment="1">
      <alignment textRotation="90" wrapText="1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38" fontId="17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7" fillId="0" borderId="18" xfId="0" applyFont="1" applyBorder="1" applyAlignment="1">
      <alignment wrapText="1"/>
    </xf>
    <xf numFmtId="173" fontId="17" fillId="0" borderId="18" xfId="0" applyNumberFormat="1" applyFont="1" applyBorder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203" fontId="0" fillId="0" borderId="33" xfId="0" applyNumberFormat="1" applyFont="1" applyFill="1" applyBorder="1" applyAlignment="1">
      <alignment textRotation="90" wrapText="1"/>
    </xf>
    <xf numFmtId="203" fontId="0" fillId="0" borderId="34" xfId="0" applyNumberFormat="1" applyFont="1" applyFill="1" applyBorder="1" applyAlignment="1">
      <alignment textRotation="90" wrapText="1"/>
    </xf>
    <xf numFmtId="203" fontId="0" fillId="0" borderId="35" xfId="0" applyNumberFormat="1" applyFont="1" applyFill="1" applyBorder="1" applyAlignment="1">
      <alignment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justify"/>
    </xf>
    <xf numFmtId="0" fontId="5" fillId="0" borderId="55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/>
    </xf>
    <xf numFmtId="0" fontId="46" fillId="0" borderId="16" xfId="0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left"/>
    </xf>
    <xf numFmtId="38" fontId="45" fillId="0" borderId="36" xfId="0" applyNumberFormat="1" applyFont="1" applyFill="1" applyBorder="1" applyAlignment="1">
      <alignment horizontal="center"/>
    </xf>
    <xf numFmtId="0" fontId="45" fillId="0" borderId="26" xfId="0" applyFont="1" applyFill="1" applyBorder="1" applyAlignment="1">
      <alignment wrapText="1"/>
    </xf>
    <xf numFmtId="0" fontId="46" fillId="0" borderId="57" xfId="0" applyFont="1" applyFill="1" applyBorder="1" applyAlignment="1">
      <alignment wrapText="1"/>
    </xf>
    <xf numFmtId="0" fontId="46" fillId="0" borderId="55" xfId="0" applyFont="1" applyFill="1" applyBorder="1" applyAlignment="1">
      <alignment wrapText="1"/>
    </xf>
    <xf numFmtId="0" fontId="46" fillId="0" borderId="36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45" fillId="0" borderId="26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37" fontId="0" fillId="0" borderId="39" xfId="0" applyNumberFormat="1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40" xfId="0" applyNumberFormat="1" applyFont="1" applyFill="1" applyBorder="1" applyAlignment="1">
      <alignment horizontal="center" vertical="center"/>
    </xf>
    <xf numFmtId="38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37" fontId="0" fillId="0" borderId="39" xfId="0" applyNumberFormat="1" applyFont="1" applyFill="1" applyBorder="1" applyAlignment="1">
      <alignment horizontal="center"/>
    </xf>
    <xf numFmtId="37" fontId="0" fillId="0" borderId="26" xfId="0" applyNumberFormat="1" applyFont="1" applyFill="1" applyBorder="1" applyAlignment="1">
      <alignment horizontal="center"/>
    </xf>
    <xf numFmtId="37" fontId="0" fillId="0" borderId="40" xfId="0" applyNumberFormat="1" applyFont="1" applyFill="1" applyBorder="1" applyAlignment="1">
      <alignment horizontal="center"/>
    </xf>
    <xf numFmtId="37" fontId="5" fillId="0" borderId="39" xfId="0" applyNumberFormat="1" applyFont="1" applyFill="1" applyBorder="1" applyAlignment="1">
      <alignment horizontal="center"/>
    </xf>
    <xf numFmtId="37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top" wrapText="1"/>
    </xf>
    <xf numFmtId="8" fontId="0" fillId="0" borderId="22" xfId="0" applyNumberFormat="1" applyFont="1" applyFill="1" applyBorder="1" applyAlignment="1">
      <alignment horizontal="right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0" fillId="36" borderId="26" xfId="0" applyFont="1" applyFill="1" applyBorder="1" applyAlignment="1">
      <alignment wrapText="1"/>
    </xf>
    <xf numFmtId="0" fontId="0" fillId="36" borderId="40" xfId="0" applyFont="1" applyFill="1" applyBorder="1" applyAlignment="1">
      <alignment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36" borderId="29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38" fontId="15" fillId="0" borderId="36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8" fontId="17" fillId="0" borderId="36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Border="1" applyAlignment="1">
      <alignment horizontal="justify" wrapText="1"/>
    </xf>
    <xf numFmtId="173" fontId="17" fillId="0" borderId="0" xfId="0" applyNumberFormat="1" applyFont="1" applyBorder="1" applyAlignment="1">
      <alignment horizontal="right" wrapText="1"/>
    </xf>
    <xf numFmtId="0" fontId="6" fillId="36" borderId="35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justify" wrapText="1"/>
    </xf>
    <xf numFmtId="38" fontId="17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0" fillId="0" borderId="69" xfId="0" applyFont="1" applyBorder="1" applyAlignment="1">
      <alignment horizontal="center" vertical="top" wrapText="1"/>
    </xf>
    <xf numFmtId="0" fontId="20" fillId="0" borderId="61" xfId="0" applyFont="1" applyBorder="1" applyAlignment="1">
      <alignment horizontal="center" vertical="top" wrapText="1"/>
    </xf>
    <xf numFmtId="0" fontId="21" fillId="35" borderId="59" xfId="0" applyFont="1" applyFill="1" applyBorder="1" applyAlignment="1">
      <alignment horizontal="center" vertical="top" wrapText="1"/>
    </xf>
    <xf numFmtId="0" fontId="21" fillId="35" borderId="66" xfId="0" applyFont="1" applyFill="1" applyBorder="1" applyAlignment="1">
      <alignment horizontal="center" vertical="top" wrapText="1"/>
    </xf>
    <xf numFmtId="0" fontId="21" fillId="35" borderId="70" xfId="0" applyFont="1" applyFill="1" applyBorder="1" applyAlignment="1">
      <alignment horizontal="center" vertical="top" wrapText="1"/>
    </xf>
    <xf numFmtId="0" fontId="21" fillId="35" borderId="69" xfId="0" applyFont="1" applyFill="1" applyBorder="1" applyAlignment="1">
      <alignment horizontal="center" vertical="top" wrapText="1"/>
    </xf>
    <xf numFmtId="0" fontId="21" fillId="35" borderId="62" xfId="0" applyFont="1" applyFill="1" applyBorder="1" applyAlignment="1">
      <alignment horizontal="center" vertical="top" wrapText="1"/>
    </xf>
    <xf numFmtId="0" fontId="21" fillId="35" borderId="61" xfId="0" applyFont="1" applyFill="1" applyBorder="1" applyAlignment="1">
      <alignment horizontal="center" vertical="top" wrapText="1"/>
    </xf>
    <xf numFmtId="0" fontId="21" fillId="35" borderId="69" xfId="0" applyFont="1" applyFill="1" applyBorder="1" applyAlignment="1">
      <alignment vertical="top" wrapText="1"/>
    </xf>
    <xf numFmtId="0" fontId="21" fillId="35" borderId="62" xfId="0" applyFont="1" applyFill="1" applyBorder="1" applyAlignment="1">
      <alignment vertical="top" wrapText="1"/>
    </xf>
    <xf numFmtId="0" fontId="21" fillId="35" borderId="61" xfId="0" applyFont="1" applyFill="1" applyBorder="1" applyAlignment="1">
      <alignment vertical="top" wrapText="1"/>
    </xf>
    <xf numFmtId="0" fontId="21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24" xfId="0" applyBorder="1" applyAlignment="1">
      <alignment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1" fillId="0" borderId="19" xfId="0" applyFont="1" applyBorder="1" applyAlignment="1">
      <alignment/>
    </xf>
    <xf numFmtId="0" fontId="5" fillId="0" borderId="0" xfId="0" applyFont="1" applyBorder="1" applyAlignment="1">
      <alignment/>
    </xf>
    <xf numFmtId="43" fontId="0" fillId="0" borderId="19" xfId="0" applyNumberFormat="1" applyFont="1" applyFill="1" applyBorder="1" applyAlignment="1">
      <alignment horizontal="right" wrapText="1"/>
    </xf>
    <xf numFmtId="43" fontId="0" fillId="0" borderId="0" xfId="0" applyNumberFormat="1" applyFont="1" applyFill="1" applyBorder="1" applyAlignment="1">
      <alignment horizontal="right" wrapText="1"/>
    </xf>
    <xf numFmtId="43" fontId="0" fillId="0" borderId="20" xfId="0" applyNumberFormat="1" applyFont="1" applyFill="1" applyBorder="1" applyAlignment="1">
      <alignment horizontal="right" wrapText="1"/>
    </xf>
    <xf numFmtId="0" fontId="0" fillId="0" borderId="59" xfId="0" applyFont="1" applyFill="1" applyBorder="1" applyAlignment="1">
      <alignment wrapText="1"/>
    </xf>
    <xf numFmtId="0" fontId="0" fillId="0" borderId="70" xfId="0" applyFont="1" applyFill="1" applyBorder="1" applyAlignment="1">
      <alignment wrapText="1"/>
    </xf>
    <xf numFmtId="43" fontId="0" fillId="0" borderId="59" xfId="0" applyNumberFormat="1" applyFont="1" applyFill="1" applyBorder="1" applyAlignment="1">
      <alignment horizontal="right" wrapText="1"/>
    </xf>
    <xf numFmtId="43" fontId="0" fillId="0" borderId="66" xfId="0" applyNumberFormat="1" applyFont="1" applyFill="1" applyBorder="1" applyAlignment="1">
      <alignment horizontal="right" wrapText="1"/>
    </xf>
    <xf numFmtId="43" fontId="0" fillId="0" borderId="70" xfId="0" applyNumberFormat="1" applyFont="1" applyFill="1" applyBorder="1" applyAlignment="1">
      <alignment horizontal="right" wrapText="1"/>
    </xf>
    <xf numFmtId="0" fontId="5" fillId="36" borderId="59" xfId="0" applyFont="1" applyFill="1" applyBorder="1" applyAlignment="1">
      <alignment horizontal="center" wrapText="1"/>
    </xf>
    <xf numFmtId="0" fontId="5" fillId="36" borderId="66" xfId="0" applyFont="1" applyFill="1" applyBorder="1" applyAlignment="1">
      <alignment horizontal="center" wrapText="1"/>
    </xf>
    <xf numFmtId="0" fontId="5" fillId="36" borderId="70" xfId="0" applyFont="1" applyFill="1" applyBorder="1" applyAlignment="1">
      <alignment horizontal="center" wrapText="1"/>
    </xf>
    <xf numFmtId="43" fontId="0" fillId="36" borderId="21" xfId="0" applyNumberFormat="1" applyFont="1" applyFill="1" applyBorder="1" applyAlignment="1">
      <alignment horizontal="right" wrapText="1"/>
    </xf>
    <xf numFmtId="43" fontId="0" fillId="36" borderId="22" xfId="0" applyNumberFormat="1" applyFont="1" applyFill="1" applyBorder="1" applyAlignment="1">
      <alignment horizontal="right" wrapText="1"/>
    </xf>
    <xf numFmtId="43" fontId="0" fillId="36" borderId="23" xfId="0" applyNumberFormat="1" applyFont="1" applyFill="1" applyBorder="1" applyAlignment="1">
      <alignment horizontal="right" wrapText="1"/>
    </xf>
    <xf numFmtId="43" fontId="0" fillId="0" borderId="21" xfId="0" applyNumberFormat="1" applyFont="1" applyFill="1" applyBorder="1" applyAlignment="1">
      <alignment horizontal="right" wrapText="1"/>
    </xf>
    <xf numFmtId="43" fontId="0" fillId="0" borderId="22" xfId="0" applyNumberFormat="1" applyFont="1" applyFill="1" applyBorder="1" applyAlignment="1">
      <alignment horizontal="right" wrapText="1"/>
    </xf>
    <xf numFmtId="43" fontId="0" fillId="0" borderId="23" xfId="0" applyNumberFormat="1" applyFont="1" applyFill="1" applyBorder="1" applyAlignment="1">
      <alignment horizontal="right" wrapText="1"/>
    </xf>
    <xf numFmtId="0" fontId="5" fillId="36" borderId="69" xfId="0" applyFont="1" applyFill="1" applyBorder="1" applyAlignment="1">
      <alignment horizontal="center" wrapText="1"/>
    </xf>
    <xf numFmtId="0" fontId="5" fillId="36" borderId="61" xfId="0" applyFont="1" applyFill="1" applyBorder="1" applyAlignment="1">
      <alignment horizontal="center" wrapText="1"/>
    </xf>
    <xf numFmtId="0" fontId="5" fillId="36" borderId="71" xfId="0" applyFont="1" applyFill="1" applyBorder="1" applyAlignment="1">
      <alignment horizontal="center" wrapText="1"/>
    </xf>
    <xf numFmtId="0" fontId="5" fillId="36" borderId="72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0" fillId="0" borderId="59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59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43" fontId="0" fillId="0" borderId="59" xfId="0" applyNumberFormat="1" applyFont="1" applyFill="1" applyBorder="1" applyAlignment="1">
      <alignment horizontal="center" wrapText="1"/>
    </xf>
    <xf numFmtId="43" fontId="0" fillId="0" borderId="66" xfId="0" applyNumberFormat="1" applyFont="1" applyFill="1" applyBorder="1" applyAlignment="1">
      <alignment horizontal="center" wrapText="1"/>
    </xf>
    <xf numFmtId="43" fontId="0" fillId="0" borderId="70" xfId="0" applyNumberFormat="1" applyFont="1" applyFill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66675</xdr:rowOff>
    </xdr:from>
    <xdr:to>
      <xdr:col>6</xdr:col>
      <xdr:colOff>933450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3086100"/>
          <a:ext cx="94678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origem/espécia/rubrica de receita e/ou grupo de natureza de despesa.</a:t>
          </a:r>
        </a:p>
      </xdr:txBody>
    </xdr:sp>
    <xdr:clientData/>
  </xdr:twoCellAnchor>
  <xdr:twoCellAnchor>
    <xdr:from>
      <xdr:col>0</xdr:col>
      <xdr:colOff>1971675</xdr:colOff>
      <xdr:row>26</xdr:row>
      <xdr:rowOff>0</xdr:rowOff>
    </xdr:from>
    <xdr:to>
      <xdr:col>6</xdr:col>
      <xdr:colOff>314325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>
          <a:off x="1971675" y="347662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9067800" y="3476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5295900"/>
          <a:ext cx="5791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Conforme os arts. 13, 54 e 55 do Projeto de Lei das Diretrizes Orçamentárias, a estimativa de renúncia de receita deverá estar inserida na metodologia de cálculo da projeção da arrecadação efetiva dos tributos municipais. 
Dessa forma, fica observado o atendimento do disposto no art. 14, I, da LRF, o qual determina que a renúncia deve ser considerada na estimativa de receita da lei orçamentária e de que não afetará as metas de resultados fiscais. 
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66675</xdr:rowOff>
    </xdr:from>
    <xdr:to>
      <xdr:col>1</xdr:col>
      <xdr:colOff>2876550</xdr:colOff>
      <xdr:row>38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52400" y="4533900"/>
          <a:ext cx="72485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Desse modo, para estimar o aumento permanente das receitas em 2019 considerou-se o incremento real, ou seja, a diferença entre os valores estimados a preços constantes das receitas  trbutárias e de transferências correntes, no biênio 2018-2019
Na mesma linha, o aumento permandente das despesas de caráter obrigatório que terão impacto em 20198, foi calculado pela diferença a valores constantes, observada no biênio 2018-2019 nos grupos de natureza de despesa "Pessoal" e "Outras Despesas Correntes", chegando-se, assim, ao saldo da margem líquida de expansão.
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4476750"/>
          <a:ext cx="55816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2018, adequar-se-ão às receitas do Município.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133350</xdr:rowOff>
    </xdr:from>
    <xdr:to>
      <xdr:col>3</xdr:col>
      <xdr:colOff>857250</xdr:colOff>
      <xdr:row>32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61925" y="5429250"/>
          <a:ext cx="6791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3º da LRF.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142875</xdr:rowOff>
    </xdr:from>
    <xdr:to>
      <xdr:col>6</xdr:col>
      <xdr:colOff>485775</xdr:colOff>
      <xdr:row>35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342900" y="5286375"/>
          <a:ext cx="87915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23</xdr:row>
      <xdr:rowOff>19050</xdr:rowOff>
    </xdr:from>
    <xdr:to>
      <xdr:col>12</xdr:col>
      <xdr:colOff>457200</xdr:colOff>
      <xdr:row>80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47650" y="3943350"/>
          <a:ext cx="11249025" cy="936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 1º da LRF.
Para melhor entendimento, cabem aqui os seguintes conceitos:
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investimentos permenentes e temporários;
2 – as despesas primárias correspondem ao total da despesa orçamentária deduzidas as despesas com juros e amortização da dívida, aquisição de títulos de capital integralizado e as despesas com concessão de empréstimos com retorno garantido. 
3 – o resultado primário ACIMA DA LINHA corresponde à diferença entre as receitas primárias e despesas primárias evidenciando o esforço fiscal do Município;
4 – o resultado nominal calculado pelo critério ACIMA DA LINHA foi obtido a partir do resultado primário somado ao resultado da comperação entre  os juros ativos e passivos, representado a diferença entre o saldo previsto da dívida fiscal líquida em 31 de dezembro de determinado ano em relação ao apurado em 31 de dezembro do ano anterior; 
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6 – a dívida Consolidada Líquida – DCL - corresponde à dívida pública consolidada, deduzidos os valores que compreendem o ativo disponível e os haveres financeiros, líquidos dos Restos a Pagar Processados.
Premissas e Metodologia UtilizadaS:
1 - Os parâmetros macroeconômicos utilizados na elaboração das estimativas constantes no Anexo de Metas Fiscais são relacionados na Tabela 01.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(2015, 2016 e 2017) e os valores reestimados para o exercício atual (2018),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
2 -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Anexo IV.  Asseguraram-se, ainda, os recursos para pagamento das obrigações decorrentes de juros e amortização da dívida pública.
3 – No tocante às despesas com pessoal, em específico, foi considerado o provável efeito da revisão geral anual prevista na Constituição da República, o crescimento vegetativo da folha salarial e eventual aumento acima dos níveis inflacionários.
4 -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2019, 2020 e 2021, considerou-se um crescimento do Produto Interno Bruto nacional de  1,05%, 2,00% e  2,00% e das taxas de inflação (IPCA), de  2,00%,  2,25% e  2,50%, respectivamente, cujas projeções decorrem do sistema de expectativa de mercado, segundo informações do sítio do Banco Central do Brasil, verificadas em   30/07/2018.
5 - Outro ponto importante a ser destacado é que a receita do Município, conforme estabelece o § 3º, do art. 1º da Lei Complementar nº 101/00, compreende as receitas de todos os órgãos da Administração Pública Municipal, inclusive as receitas intraorçamentárias.
6 - Em relação ao cálculo do Resultado Primário e do Resultado Nominal, considerou a metodologia estabelecida na Portaria STN nº 495/2017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2019. O resultado nominal reflete a variação do endividamento fiscal líquido entre as datas referidas.
7 - Na estimativa do montante da dívida consolidada para 2019, 2020 e 2021, utilizou-se, como parâmetros a previsão da média anual para a taxa de juros SELIC,  de  1,02%, 0,95% e  0,82%, segundo informações do sítio do Banco Central do Brasil, verificadas em  30/07/2018.  
8 - Já na apuração do montante da dívida líquida, os valores das Disponibilidades Financeiras foram calculados levando-se em consideração a estimativa da posição em 31/12/2018, projetando-se os valores futuros com base nos percentuais médios dos valores realizados no ano anterior.
9 - Isso posto, podemos elencar, a partir da leitura das projeções estabelecidas para o ano de referência da LDO (2019), os números mais representativos no contexto das projeções:
9.1 - A receita total estimada para o exercício de 2019, consideradas todas as fontes de recursos é de R$ 22.970.045,68 a preços correntes que, deduzidas das receitas financeiras, representadas pelos Rendimentos das Aplicações Financeiras (R$ 73.890,93), das resultantes de Operações de Crédito (R$ 0,00), das Alienações de Investimentos (R$ 20.698,07) e das resultantes de Amortização de Empréstimos Concedidos (R$ 0,00), resultam numa Receita Primária de R$ 22.875.456,68. 
9.2 -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R$ 22.970.045,68. Deduzindo-se as despesas financeiras com juros e encargos da dívida, estimadas em R$ 0,00 mais as despesas com Concessão de Empréstimos e Financiamentos, no valor de R$  0,00 e a Amortização da Dívida Publica, estimada em R$ 304.132,88, tem-se que as despesas primárias para 2019 foram previstas em R$ 22.665.912,80.
9.3 - Cotejando-se o valor previsto para as receitas e despesas primárias em valores correntes, chega-se à meta de resultado primário de 2019 que foi inicialmente prevista em R$ 520.639,25 a qual entendemos como necessária e suficiente para preservar o equilíbrio nas contas públicas. No entanto, ressaltamos que, a depender do comportamento das variáveis macroeconômicas, ou na hipótese de frustração de arrecadação, a meta poderá ser alterada, conforme expressa previsão do art. 2º da LDO. O detalhamento do cálculo do Resultado Primário e nominal pelo Critério ACIMA DA LINHA é evidenciado na Tabela 02.
10 - Em relação ao estoque da dívida, esse corresponde à posição em dezembro de cada exercício, considerando a previsão das amortizações e das liberações a serem realizadas no respectivo período, estando os valores evidenciados na Tabela 03
.
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00025" y="3800475"/>
          <a:ext cx="8886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9</xdr:col>
      <xdr:colOff>0</xdr:colOff>
      <xdr:row>55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85725" y="3895725"/>
          <a:ext cx="9077325" cy="574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objetivo deste demonstrativo é estabelecer uma comparação entre as metas fixadas e o resultado obtido no exercício anterior ao da edição da LDO (2019), incluindo análise dos fatores determinantes para o alcance ou não dos valores estabelecidos como metas, visando a atender o disposto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 2º, inciso I da LRF.
Assim, conforme demonstrado em audiência pública de avaliação das metas fiscais relativas ao terceiro quadrimestre do exercício financeiro de 2017 (art. 9º, § 4º da LRF), o resultado primário, principal indicador de sustentabilidade fiscal do setor público, ficou em R$ 1.594.870,99 valor 30,34% superior à meta estabelecida, que era de R$ 1.223.577,48. O desempenho verificado demonstra que o ingresso das receitas primárias (não financeiras) , foi  capaz de suportar o total das despesas primárias (não financeiras) do exercício.
As receitas não financeiras totalizaram R$ 19.438.013,17 superando  em 0,45% a projeção para o período de R$ 19.351.381,43. As despesas não financeiras atingiram R$ 17.843.142,18  estabelecendo-se  92,84%  abaixo da previsão orçamentária. Não obstante a sua retração, corresponderam a 99,69 % do total das receitas primárias não comprometendo , dessa forma, a obtenção do superávit primário.
Em parte, esse resultado é em decorrência do desempenho favorável  apresentado pela receita, tendo sido fortemente condicionado pelo comportamento das receitas correntes, que apresentaram um  incremento  de  4,48% em relação ao valor consignado no orçamento. Destaca-se no exercício de 2017 o desempenho dos grupos de receita tributária, patrimonial e de transferências correntes, que  superaram a expectativa.
A dívida consolidada totalizou R$ 1.040.756,98,  valor  350% superior  ao saldo de R$ ( 297.549,00) estimado para o exercício. Tal comportamento é reflexo do aumento  dos desembolsos da amortização da dívida que totalizou em 2017 R$  239.289,86, valor 25,22%  menor  que a projeção consignada na Lei do Orçamento de R$ 320.000,00. 
No anexo de metas fiscais, que acompanhou a LDO para 2017, estipulou-se o montante da dívida fiscal líquida em R$ (1.708.509,00). Contudo, os resultados efetivamente apurados e especificados no Relatório Resumido de Execução Orçamentária, e avaliados ao final daquele exercício apontam que o estoque da dívida, atualizado em dezembro daquele ano era de R$ (114.903,56) que, comparado com o montante apurado ao final de 2017, apresentou um resultado nominal de R$ (1.593.605,44), que ficou  abaixo da previsão inicial da LDO, que era de R$ (1.708.509,00).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3346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(2018), em comparação com as estabelecidas para os três exercícios anteriores  (2016, 2017 e 2018), bem como para os dois seguintes (2020 e 2021),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II, da LRF.
Os valores relativos às previsões de Receitas, Despesas e Resultado Primário de 2016, 2017 e 2018 foram atualizados pelas respectivas Leis Orçamentárias Anuais. Já os valores da previsão do Resultado Nominal, Dívida Consolidada e Dívida Consolidada Líquida, foram extraídos dos anexos de metas fiscais das respectivas LDO.
Já em relação às previsões para os exercícios de 2019, 2020 e 2021,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28575</xdr:rowOff>
    </xdr:from>
    <xdr:to>
      <xdr:col>6</xdr:col>
      <xdr:colOff>552450</xdr:colOff>
      <xdr:row>37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42875" y="6162675"/>
          <a:ext cx="68008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(2016, 2017 e 2018), cumprindo, dessa forma,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III, da LRF.
Nesse sentido, é preciso enfatizar que o Município segue as normas da Lei 4.320/64, não apresentando no seu balanço as nomenclaturas previstas na Lei 6.404/76. Assim, em vez de "Resultado Acumulado", ou "Lucros ou Prejupizos Acumulados" o Município utiliza a nomenclatura de "Superávit ou Déficit do Exercício".
Em termos consolidados, a evolução do Patrimônio Líquido do Município, nos últimos três exercícios, demonstrada para o período de 2016 a 2018, aponta que o saldo patrimonial decresceu de R$  13.246.611,66 para R$ 24.088.736,72.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123825</xdr:rowOff>
    </xdr:from>
    <xdr:to>
      <xdr:col>3</xdr:col>
      <xdr:colOff>990600</xdr:colOff>
      <xdr:row>36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5753100"/>
          <a:ext cx="66865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(2016,  2017 e 2018).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155</xdr:row>
      <xdr:rowOff>123825</xdr:rowOff>
    </xdr:from>
    <xdr:to>
      <xdr:col>7</xdr:col>
      <xdr:colOff>95250</xdr:colOff>
      <xdr:row>171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22269450"/>
          <a:ext cx="66008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°, § 2°, inciso IV, alínea “a”, da Lei de Responsabilidade Fiscal – LRF, o qual determina que o Anexo de Metas Fiscais conterá a avaliação da situação financeira e atuarial do Regime Próprio de Previdência dos Servidores – RPPS.
Os dados acima apresentados tem como base o Anexo 4 – Demonstrativo das Receitas e Despesas Previdenciárias do Regime Próprio de Previdência dos Servidores, publicado no Relatório Resumido de Execução Orçamentária – RREO do último bimestre dos exercícios financeiros de 2016, 2017 e 2018, respectivamente.
Já os resultados da avaliação atuarial foram apresentados conforme o Anexo 10 – Demonstrativo da Projeção Atuarial do Regime Próprio dos Servidores, publicado no RREO do último bimestre dos exercícios de 2018. 
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7:J26"/>
  <sheetViews>
    <sheetView showGridLines="0" zoomScale="120" zoomScaleNormal="120" zoomScaleSheetLayoutView="70" zoomScalePageLayoutView="0" workbookViewId="0" topLeftCell="A7">
      <selection activeCell="A8" sqref="A8:J8"/>
    </sheetView>
  </sheetViews>
  <sheetFormatPr defaultColWidth="8.8515625" defaultRowHeight="12.75"/>
  <cols>
    <col min="1" max="1" width="53.57421875" style="30" customWidth="1"/>
    <col min="2" max="2" width="16.8515625" style="30" customWidth="1"/>
    <col min="3" max="3" width="16.57421875" style="30" customWidth="1"/>
    <col min="4" max="4" width="13.00390625" style="30" customWidth="1"/>
    <col min="5" max="5" width="14.57421875" style="30" customWidth="1"/>
    <col min="6" max="6" width="15.8515625" style="30" customWidth="1"/>
    <col min="7" max="7" width="15.140625" style="30" customWidth="1"/>
    <col min="8" max="16384" width="8.8515625" style="30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481" t="s">
        <v>668</v>
      </c>
      <c r="B7" s="482"/>
      <c r="C7" s="482"/>
      <c r="D7" s="482"/>
      <c r="E7" s="482"/>
      <c r="F7" s="482"/>
      <c r="G7" s="482"/>
      <c r="H7" s="482"/>
      <c r="I7" s="482"/>
      <c r="J7" s="483"/>
    </row>
    <row r="8" spans="1:10" ht="12">
      <c r="A8" s="484" t="s">
        <v>520</v>
      </c>
      <c r="B8" s="482"/>
      <c r="C8" s="482"/>
      <c r="D8" s="482"/>
      <c r="E8" s="482"/>
      <c r="F8" s="482"/>
      <c r="G8" s="482"/>
      <c r="H8" s="482"/>
      <c r="I8" s="482"/>
      <c r="J8" s="483"/>
    </row>
    <row r="9" spans="1:10" ht="21" customHeight="1">
      <c r="A9" s="485" t="s">
        <v>156</v>
      </c>
      <c r="B9" s="486"/>
      <c r="C9" s="486"/>
      <c r="D9" s="486"/>
      <c r="E9" s="486"/>
      <c r="F9" s="486"/>
      <c r="G9" s="486"/>
      <c r="H9" s="487"/>
      <c r="I9" s="487"/>
      <c r="J9" s="488"/>
    </row>
    <row r="10" spans="1:10" ht="25.5" customHeight="1">
      <c r="A10" s="423" t="s">
        <v>521</v>
      </c>
      <c r="B10" s="423">
        <v>2016</v>
      </c>
      <c r="C10" s="423">
        <f>B10+1</f>
        <v>2017</v>
      </c>
      <c r="D10" s="423">
        <f>C10+1</f>
        <v>2018</v>
      </c>
      <c r="E10" s="423">
        <f>D10+1</f>
        <v>2019</v>
      </c>
      <c r="F10" s="423">
        <f>E10+1</f>
        <v>2020</v>
      </c>
      <c r="G10" s="423">
        <f>F10+1</f>
        <v>2021</v>
      </c>
      <c r="H10" s="38"/>
      <c r="I10" s="38"/>
      <c r="J10" s="38"/>
    </row>
    <row r="11" spans="1:7" ht="12.75">
      <c r="A11" s="424" t="s">
        <v>133</v>
      </c>
      <c r="B11" s="466">
        <v>0.04</v>
      </c>
      <c r="C11" s="425">
        <v>0.0298</v>
      </c>
      <c r="D11" s="425">
        <v>0.028</v>
      </c>
      <c r="E11" s="430">
        <v>0.02</v>
      </c>
      <c r="F11" s="430">
        <v>0.0225</v>
      </c>
      <c r="G11" s="430">
        <v>0.025</v>
      </c>
    </row>
    <row r="12" spans="1:7" ht="12.75">
      <c r="A12" s="424" t="s">
        <v>134</v>
      </c>
      <c r="B12" s="466">
        <v>-0.019</v>
      </c>
      <c r="C12" s="425">
        <v>-0.0091</v>
      </c>
      <c r="D12" s="425">
        <v>0.0115</v>
      </c>
      <c r="E12" s="430">
        <v>0.0105</v>
      </c>
      <c r="F12" s="430">
        <v>0.02</v>
      </c>
      <c r="G12" s="430">
        <v>0.02</v>
      </c>
    </row>
    <row r="13" spans="1:7" ht="12.75">
      <c r="A13" s="426" t="s">
        <v>135</v>
      </c>
      <c r="B13" s="467">
        <v>0.0866</v>
      </c>
      <c r="C13" s="467">
        <v>0.0898</v>
      </c>
      <c r="D13" s="467">
        <v>0.065</v>
      </c>
      <c r="E13" s="425">
        <f aca="true" t="shared" si="0" ref="E13:G20">(B13+C13+D13)/3</f>
        <v>0.08046666666666667</v>
      </c>
      <c r="F13" s="425">
        <f t="shared" si="0"/>
        <v>0.07842222222222223</v>
      </c>
      <c r="G13" s="425">
        <f t="shared" si="0"/>
        <v>0.07462962962962964</v>
      </c>
    </row>
    <row r="14" spans="1:7" ht="12.75">
      <c r="A14" s="427" t="s">
        <v>136</v>
      </c>
      <c r="B14" s="467">
        <v>0.0806</v>
      </c>
      <c r="C14" s="467">
        <v>0.09</v>
      </c>
      <c r="D14" s="467">
        <v>0.0869</v>
      </c>
      <c r="E14" s="425">
        <v>0.0898</v>
      </c>
      <c r="F14" s="425">
        <v>0.088</v>
      </c>
      <c r="G14" s="425">
        <f t="shared" si="0"/>
        <v>0.08823333333333334</v>
      </c>
    </row>
    <row r="15" spans="1:7" ht="12.75">
      <c r="A15" s="427" t="s">
        <v>137</v>
      </c>
      <c r="B15" s="467">
        <v>0.174</v>
      </c>
      <c r="C15" s="467">
        <v>0.8277</v>
      </c>
      <c r="D15" s="467">
        <v>0.184</v>
      </c>
      <c r="E15" s="425">
        <f t="shared" si="0"/>
        <v>0.3952333333333333</v>
      </c>
      <c r="F15" s="425">
        <f t="shared" si="0"/>
        <v>0.46897777777777777</v>
      </c>
      <c r="G15" s="425">
        <f t="shared" si="0"/>
        <v>0.34940370370370366</v>
      </c>
    </row>
    <row r="16" spans="1:7" ht="12.75">
      <c r="A16" s="427" t="s">
        <v>390</v>
      </c>
      <c r="B16" s="467">
        <v>0.0876</v>
      </c>
      <c r="C16" s="467">
        <v>0.0636</v>
      </c>
      <c r="D16" s="467">
        <v>0.07</v>
      </c>
      <c r="E16" s="425">
        <f t="shared" si="0"/>
        <v>0.07373333333333333</v>
      </c>
      <c r="F16" s="425">
        <f t="shared" si="0"/>
        <v>0.06911111111111111</v>
      </c>
      <c r="G16" s="425">
        <f t="shared" si="0"/>
        <v>0.07094814814814815</v>
      </c>
    </row>
    <row r="17" spans="1:7" ht="12.75">
      <c r="A17" s="427" t="s">
        <v>391</v>
      </c>
      <c r="B17" s="467">
        <v>0.085</v>
      </c>
      <c r="C17" s="467">
        <v>0.0418</v>
      </c>
      <c r="D17" s="467">
        <v>0.038</v>
      </c>
      <c r="E17" s="425">
        <f t="shared" si="0"/>
        <v>0.054933333333333334</v>
      </c>
      <c r="F17" s="425">
        <f t="shared" si="0"/>
        <v>0.0449111111111111</v>
      </c>
      <c r="G17" s="425">
        <f t="shared" si="0"/>
        <v>0.04594814814814815</v>
      </c>
    </row>
    <row r="18" spans="1:7" ht="12.75">
      <c r="A18" s="424" t="s">
        <v>392</v>
      </c>
      <c r="B18" s="431">
        <v>0</v>
      </c>
      <c r="C18" s="431">
        <v>0</v>
      </c>
      <c r="D18" s="431">
        <v>0</v>
      </c>
      <c r="E18" s="430">
        <v>0</v>
      </c>
      <c r="F18" s="430">
        <v>0</v>
      </c>
      <c r="G18" s="430">
        <v>0</v>
      </c>
    </row>
    <row r="19" spans="1:7" ht="12.75">
      <c r="A19" s="424" t="s">
        <v>393</v>
      </c>
      <c r="B19" s="431">
        <v>0</v>
      </c>
      <c r="C19" s="431">
        <v>0</v>
      </c>
      <c r="D19" s="431">
        <v>0</v>
      </c>
      <c r="E19" s="431">
        <v>0</v>
      </c>
      <c r="F19" s="431">
        <v>0</v>
      </c>
      <c r="G19" s="431">
        <v>0</v>
      </c>
    </row>
    <row r="20" spans="1:7" ht="12.75">
      <c r="A20" s="428" t="s">
        <v>144</v>
      </c>
      <c r="B20" s="467">
        <f>IF(Projeções!C127=0,"-",((Projeções!D127/Projeções!C127)-1)-B11-B12)</f>
        <v>-0.6808462403594369</v>
      </c>
      <c r="C20" s="467">
        <f>IF(Projeções!D127=0,"-",((Projeções!E127/Projeções!D127)-1)-C11-C12)</f>
        <v>0.060965044240300637</v>
      </c>
      <c r="D20" s="467">
        <f>IF(Projeções!E127=0,"-",((Projeções!F127/Projeções!E127)-1)-D11-D12)</f>
        <v>0.7984425706082116</v>
      </c>
      <c r="E20" s="425">
        <f t="shared" si="0"/>
        <v>0.059520458163025126</v>
      </c>
      <c r="F20" s="425">
        <f t="shared" si="0"/>
        <v>0.3063093576705124</v>
      </c>
      <c r="G20" s="425">
        <f t="shared" si="0"/>
        <v>0.388090795480583</v>
      </c>
    </row>
    <row r="21" spans="1:7" ht="12.75">
      <c r="A21" s="428" t="s">
        <v>219</v>
      </c>
      <c r="B21" s="467">
        <v>0.0112</v>
      </c>
      <c r="C21" s="467">
        <v>0.0094</v>
      </c>
      <c r="D21" s="425">
        <v>0.008</v>
      </c>
      <c r="E21" s="430">
        <v>0.0102</v>
      </c>
      <c r="F21" s="430">
        <v>0.0095</v>
      </c>
      <c r="G21" s="430">
        <v>0.0082</v>
      </c>
    </row>
    <row r="22" spans="1:7" ht="12.75">
      <c r="A22" s="428" t="s">
        <v>552</v>
      </c>
      <c r="B22" s="468">
        <v>3.35</v>
      </c>
      <c r="C22" s="468">
        <v>3.29</v>
      </c>
      <c r="D22" s="429">
        <v>3.46</v>
      </c>
      <c r="E22" s="422">
        <v>3.4</v>
      </c>
      <c r="F22" s="422">
        <v>3.5</v>
      </c>
      <c r="G22" s="422">
        <v>3.55</v>
      </c>
    </row>
    <row r="23" spans="1:7" ht="14.25">
      <c r="A23" s="47"/>
      <c r="B23" s="47"/>
      <c r="C23" s="13"/>
      <c r="D23" s="13"/>
      <c r="E23" s="13"/>
      <c r="F23" s="13"/>
      <c r="G23" s="13"/>
    </row>
    <row r="24" spans="1:7" ht="12">
      <c r="A24" s="479"/>
      <c r="B24" s="480"/>
      <c r="C24" s="480"/>
      <c r="D24" s="480"/>
      <c r="E24" s="480"/>
      <c r="F24" s="480"/>
      <c r="G24" s="480"/>
    </row>
    <row r="25" spans="1:8" ht="12">
      <c r="A25" s="480"/>
      <c r="B25" s="480"/>
      <c r="C25" s="480"/>
      <c r="D25" s="480"/>
      <c r="E25" s="480"/>
      <c r="F25" s="480"/>
      <c r="G25" s="480"/>
      <c r="H25" s="41"/>
    </row>
    <row r="26" spans="1:8" ht="12">
      <c r="A26" s="480"/>
      <c r="B26" s="480"/>
      <c r="C26" s="480"/>
      <c r="D26" s="480"/>
      <c r="E26" s="480"/>
      <c r="F26" s="480"/>
      <c r="G26" s="480"/>
      <c r="H26" s="41"/>
    </row>
  </sheetData>
  <sheetProtection/>
  <mergeCells count="4">
    <mergeCell ref="A24:G26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300" verticalDpi="300" orientation="landscape" paperSize="9" scale="70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3.57421875" style="11" customWidth="1"/>
    <col min="2" max="2" width="14.28125" style="11" customWidth="1"/>
    <col min="3" max="3" width="13.57421875" style="11" customWidth="1"/>
    <col min="4" max="4" width="10.28125" style="11" customWidth="1"/>
    <col min="5" max="5" width="15.140625" style="11" customWidth="1"/>
    <col min="6" max="6" width="10.28125" style="11" customWidth="1"/>
    <col min="7" max="7" width="14.140625" style="11" customWidth="1"/>
    <col min="8" max="8" width="11.00390625" style="11" customWidth="1"/>
    <col min="9" max="9" width="15.140625" style="11" customWidth="1"/>
    <col min="10" max="10" width="10.7109375" style="11" customWidth="1"/>
    <col min="11" max="11" width="16.28125" style="11" customWidth="1"/>
    <col min="12" max="12" width="10.28125" style="11" customWidth="1"/>
    <col min="13" max="16384" width="9.140625" style="11" customWidth="1"/>
  </cols>
  <sheetData>
    <row r="1" spans="1:12" ht="12.75" customHeight="1">
      <c r="A1" s="524" t="str">
        <f>Parâmetros!A7</f>
        <v>Município de Barra do Quaraí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6"/>
    </row>
    <row r="2" spans="1:12" ht="12.75">
      <c r="A2" s="527" t="s">
        <v>36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6"/>
    </row>
    <row r="3" spans="1:12" ht="12.75">
      <c r="A3" s="527" t="str">
        <f>'Metas Cons'!A3:M3</f>
        <v>ANEXO DE METAS FISCAIS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6"/>
    </row>
    <row r="4" spans="1:12" ht="12.75">
      <c r="A4" s="528" t="s">
        <v>126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30"/>
    </row>
    <row r="5" spans="1:12" ht="12.75">
      <c r="A5" s="527" t="s">
        <v>614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6"/>
    </row>
    <row r="6" spans="1:12" ht="12.75">
      <c r="A6" s="527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6"/>
    </row>
    <row r="7" spans="1:12" ht="12.75">
      <c r="A7" s="593" t="s">
        <v>511</v>
      </c>
      <c r="B7" s="594"/>
      <c r="C7" s="56"/>
      <c r="D7" s="56"/>
      <c r="E7" s="56"/>
      <c r="F7" s="56"/>
      <c r="G7" s="56"/>
      <c r="H7" s="56"/>
      <c r="I7" s="56"/>
      <c r="J7" s="56"/>
      <c r="K7" s="56"/>
      <c r="L7" s="57">
        <v>1</v>
      </c>
    </row>
    <row r="8" spans="1:12" ht="15.75" customHeight="1">
      <c r="A8" s="53" t="s">
        <v>56</v>
      </c>
      <c r="B8" s="589" t="s">
        <v>79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</row>
    <row r="9" spans="1:12" s="12" customFormat="1" ht="15.75" customHeight="1">
      <c r="A9" s="591"/>
      <c r="B9" s="537">
        <f>Parâmetros!B10</f>
        <v>2016</v>
      </c>
      <c r="C9" s="537">
        <f>B9+1</f>
        <v>2017</v>
      </c>
      <c r="D9" s="537" t="s">
        <v>119</v>
      </c>
      <c r="E9" s="537">
        <f>C9+1</f>
        <v>2018</v>
      </c>
      <c r="F9" s="537" t="s">
        <v>119</v>
      </c>
      <c r="G9" s="540">
        <f>E9+1</f>
        <v>2019</v>
      </c>
      <c r="H9" s="540" t="s">
        <v>119</v>
      </c>
      <c r="I9" s="540">
        <f>G9+1</f>
        <v>2020</v>
      </c>
      <c r="J9" s="540" t="s">
        <v>120</v>
      </c>
      <c r="K9" s="540">
        <f>I9+1</f>
        <v>2021</v>
      </c>
      <c r="L9" s="583" t="s">
        <v>119</v>
      </c>
    </row>
    <row r="10" spans="1:12" s="12" customFormat="1" ht="15.75" customHeight="1">
      <c r="A10" s="592"/>
      <c r="B10" s="539"/>
      <c r="C10" s="539"/>
      <c r="D10" s="539"/>
      <c r="E10" s="539"/>
      <c r="F10" s="539"/>
      <c r="G10" s="542"/>
      <c r="H10" s="542"/>
      <c r="I10" s="542"/>
      <c r="J10" s="542"/>
      <c r="K10" s="542"/>
      <c r="L10" s="585"/>
    </row>
    <row r="11" spans="1:12" ht="12.75">
      <c r="A11" s="395" t="s">
        <v>80</v>
      </c>
      <c r="B11" s="112">
        <v>18379189.43</v>
      </c>
      <c r="C11" s="437">
        <f>' Avaliação'!B11</f>
        <v>19466387.14</v>
      </c>
      <c r="D11" s="444">
        <f aca="true" t="shared" si="0" ref="D11:D18">IF(B11=0,"0",(C11/B11)-1)</f>
        <v>0.05915373548658187</v>
      </c>
      <c r="E11" s="112">
        <v>21092039.4</v>
      </c>
      <c r="F11" s="444">
        <f aca="true" t="shared" si="1" ref="F11:F18">IF(C11=0,"0",(E11/C11)-1)</f>
        <v>0.08351073305531709</v>
      </c>
      <c r="G11" s="445">
        <f>'Metas Cons'!B11</f>
        <v>22970045.68066136</v>
      </c>
      <c r="H11" s="446">
        <f>IF(E11=0,"0",(G11/E11)-1)</f>
        <v>0.08903862945853236</v>
      </c>
      <c r="I11" s="445">
        <f>'Metas Cons'!F11</f>
        <v>25363191.78526108</v>
      </c>
      <c r="J11" s="444">
        <f>IF(G11=0,"-",(I11/G11)-1)</f>
        <v>0.10418551786401209</v>
      </c>
      <c r="K11" s="445">
        <f>'Metas Cons'!J11</f>
        <v>28096572.70515323</v>
      </c>
      <c r="L11" s="444">
        <f>IF(I11=0,"-",(K11/I11)-1)</f>
        <v>0.10776959552387866</v>
      </c>
    </row>
    <row r="12" spans="1:12" ht="12.75">
      <c r="A12" s="395" t="s">
        <v>127</v>
      </c>
      <c r="B12" s="112">
        <v>18529406.5</v>
      </c>
      <c r="C12" s="437">
        <f>' Avaliação'!B12</f>
        <v>19351381.43</v>
      </c>
      <c r="D12" s="444">
        <f t="shared" si="0"/>
        <v>0.04436056438181124</v>
      </c>
      <c r="E12" s="112">
        <v>20969848</v>
      </c>
      <c r="F12" s="444">
        <f t="shared" si="1"/>
        <v>0.0836357123058371</v>
      </c>
      <c r="G12" s="445">
        <f>'Metas Cons'!B12</f>
        <v>22896154.755513832</v>
      </c>
      <c r="H12" s="446">
        <f aca="true" t="shared" si="2" ref="H12:H18">IF(E12=0,"0",(G12/E12)-1)</f>
        <v>0.09186078771356998</v>
      </c>
      <c r="I12" s="445">
        <f>'Metas Cons'!F12</f>
        <v>25286127.244878463</v>
      </c>
      <c r="J12" s="444">
        <f aca="true" t="shared" si="3" ref="J12:J18">IF(G12=0,"-",(I12/G12)-1)</f>
        <v>0.10438313834287305</v>
      </c>
      <c r="K12" s="445">
        <f>'Metas Cons'!J12</f>
        <v>28016001.728183202</v>
      </c>
      <c r="L12" s="444">
        <f aca="true" t="shared" si="4" ref="L12:L18">IF(I12=0,"-",(K12/I12)-1)</f>
        <v>0.10795937459571459</v>
      </c>
    </row>
    <row r="13" spans="1:12" ht="12.75">
      <c r="A13" s="395" t="s">
        <v>81</v>
      </c>
      <c r="B13" s="112">
        <v>18379189.43</v>
      </c>
      <c r="C13" s="437">
        <f>' Avaliação'!B13</f>
        <v>19466387.14</v>
      </c>
      <c r="D13" s="444">
        <f t="shared" si="0"/>
        <v>0.05915373548658187</v>
      </c>
      <c r="E13" s="112">
        <v>21092039.4</v>
      </c>
      <c r="F13" s="444">
        <f t="shared" si="1"/>
        <v>0.08351073305531709</v>
      </c>
      <c r="G13" s="445">
        <f>'Metas Cons'!B13</f>
        <v>22679648.38083041</v>
      </c>
      <c r="H13" s="446">
        <f t="shared" si="2"/>
        <v>0.07527052982986615</v>
      </c>
      <c r="I13" s="445">
        <f>'Metas Cons'!F13</f>
        <v>25349720.838963274</v>
      </c>
      <c r="J13" s="444">
        <f t="shared" si="3"/>
        <v>0.11772988775212645</v>
      </c>
      <c r="K13" s="445">
        <f>'Metas Cons'!J13</f>
        <v>28551250.783795364</v>
      </c>
      <c r="L13" s="444">
        <f t="shared" si="4"/>
        <v>0.1262944852596264</v>
      </c>
    </row>
    <row r="14" spans="1:12" ht="12.75">
      <c r="A14" s="395" t="s">
        <v>122</v>
      </c>
      <c r="B14" s="112">
        <v>17218225.4323</v>
      </c>
      <c r="C14" s="437">
        <f>' Avaliação'!B14</f>
        <v>18127803.95</v>
      </c>
      <c r="D14" s="444">
        <f t="shared" si="0"/>
        <v>0.05282649604492362</v>
      </c>
      <c r="E14" s="112">
        <v>20757096</v>
      </c>
      <c r="F14" s="444">
        <f t="shared" si="1"/>
        <v>0.14504195087568794</v>
      </c>
      <c r="G14" s="445">
        <f>'Metas Cons'!B14</f>
        <v>22375515.504548132</v>
      </c>
      <c r="H14" s="446">
        <f t="shared" si="2"/>
        <v>0.07796945702559421</v>
      </c>
      <c r="I14" s="445">
        <f>'Metas Cons'!F14</f>
        <v>25038744.972964644</v>
      </c>
      <c r="J14" s="444">
        <f t="shared" si="3"/>
        <v>0.11902427311116814</v>
      </c>
      <c r="K14" s="445">
        <f>'Metas Cons'!J14</f>
        <v>28232500.52114677</v>
      </c>
      <c r="L14" s="444">
        <f t="shared" si="4"/>
        <v>0.127552541136968</v>
      </c>
    </row>
    <row r="15" spans="1:12" ht="12.75">
      <c r="A15" s="395" t="s">
        <v>82</v>
      </c>
      <c r="B15" s="437">
        <f>B12-B14</f>
        <v>1311181.0676999986</v>
      </c>
      <c r="C15" s="437">
        <f>' Avaliação'!B15</f>
        <v>1223577.4800000004</v>
      </c>
      <c r="D15" s="444">
        <f t="shared" si="0"/>
        <v>-0.06681273079519634</v>
      </c>
      <c r="E15" s="437">
        <f>E12-E14</f>
        <v>212752</v>
      </c>
      <c r="F15" s="444">
        <f t="shared" si="1"/>
        <v>-0.8261229848721963</v>
      </c>
      <c r="G15" s="445">
        <f>G12-G14</f>
        <v>520639.25096569955</v>
      </c>
      <c r="H15" s="446">
        <f t="shared" si="2"/>
        <v>1.4471650135636778</v>
      </c>
      <c r="I15" s="445">
        <f>I12-I14</f>
        <v>247382.27191381902</v>
      </c>
      <c r="J15" s="444">
        <f t="shared" si="3"/>
        <v>-0.5248489785298249</v>
      </c>
      <c r="K15" s="445">
        <f>K12-K14</f>
        <v>-216498.79296356812</v>
      </c>
      <c r="L15" s="444">
        <f t="shared" si="4"/>
        <v>-1.8751588838143995</v>
      </c>
    </row>
    <row r="16" spans="1:12" ht="12.75">
      <c r="A16" s="395" t="s">
        <v>83</v>
      </c>
      <c r="B16" s="113">
        <v>-1368342.91</v>
      </c>
      <c r="C16" s="437">
        <f>' Avaliação'!B16</f>
        <v>-1708509</v>
      </c>
      <c r="D16" s="444">
        <f t="shared" si="0"/>
        <v>0.24859710786969336</v>
      </c>
      <c r="E16" s="113">
        <v>-715701.03</v>
      </c>
      <c r="F16" s="444">
        <f t="shared" si="1"/>
        <v>-0.5810961311880709</v>
      </c>
      <c r="G16" s="445">
        <f>'Metas Cons'!B16</f>
        <v>520639.25096569955</v>
      </c>
      <c r="H16" s="446">
        <f t="shared" si="2"/>
        <v>-1.727453544346163</v>
      </c>
      <c r="I16" s="445">
        <f>'Metas Cons'!F16</f>
        <v>247382.27191381902</v>
      </c>
      <c r="J16" s="444">
        <f t="shared" si="3"/>
        <v>-0.5248489785298249</v>
      </c>
      <c r="K16" s="445">
        <f>'Metas Cons'!J16</f>
        <v>-216498.79296356812</v>
      </c>
      <c r="L16" s="444">
        <f t="shared" si="4"/>
        <v>-1.8751588838143995</v>
      </c>
    </row>
    <row r="17" spans="1:12" ht="12.75">
      <c r="A17" s="395" t="s">
        <v>84</v>
      </c>
      <c r="B17" s="438">
        <f>Dívida!B7</f>
        <v>5988.12</v>
      </c>
      <c r="C17" s="437">
        <f>' Avaliação'!B17</f>
        <v>-297549</v>
      </c>
      <c r="D17" s="444">
        <f t="shared" si="0"/>
        <v>-50.68988597422897</v>
      </c>
      <c r="E17" s="438">
        <f>Dívida!D7</f>
        <v>736477.44</v>
      </c>
      <c r="F17" s="444">
        <f t="shared" si="1"/>
        <v>-3.47514674893883</v>
      </c>
      <c r="G17" s="445">
        <f>'Metas Cons'!B17</f>
        <v>594407.5133333333</v>
      </c>
      <c r="H17" s="446">
        <f t="shared" si="2"/>
        <v>-0.19290465525551825</v>
      </c>
      <c r="I17" s="445">
        <f>'Metas Cons'!F17</f>
        <v>790547.3111111111</v>
      </c>
      <c r="J17" s="444">
        <f t="shared" si="3"/>
        <v>0.32997530040941125</v>
      </c>
      <c r="K17" s="445">
        <f>'Metas Cons'!J17</f>
        <v>707144.0881481481</v>
      </c>
      <c r="L17" s="444">
        <f t="shared" si="4"/>
        <v>-0.10550060924973614</v>
      </c>
    </row>
    <row r="18" spans="1:12" ht="12.75">
      <c r="A18" s="396" t="s">
        <v>78</v>
      </c>
      <c r="B18" s="439">
        <f>Dívida!B15</f>
        <v>-1368342.91</v>
      </c>
      <c r="C18" s="437">
        <f>' Avaliação'!B18</f>
        <v>-1708509</v>
      </c>
      <c r="D18" s="444">
        <f t="shared" si="0"/>
        <v>0.24859710786969336</v>
      </c>
      <c r="E18" s="439">
        <f>Dívida!D15</f>
        <v>-715701.03</v>
      </c>
      <c r="F18" s="444">
        <f t="shared" si="1"/>
        <v>-0.5810961311880709</v>
      </c>
      <c r="G18" s="445">
        <f>'Metas Cons'!B18</f>
        <v>-732982.4999999999</v>
      </c>
      <c r="H18" s="446">
        <f t="shared" si="2"/>
        <v>0.02414621367807701</v>
      </c>
      <c r="I18" s="445">
        <f>'Metas Cons'!F18</f>
        <v>-521195.69666666666</v>
      </c>
      <c r="J18" s="444">
        <f t="shared" si="3"/>
        <v>-0.28893841712910373</v>
      </c>
      <c r="K18" s="445">
        <f>'Metas Cons'!J18</f>
        <v>-656626.4088888889</v>
      </c>
      <c r="L18" s="444">
        <f t="shared" si="4"/>
        <v>0.25984618270714077</v>
      </c>
    </row>
    <row r="19" spans="1:12" ht="12.75">
      <c r="A19" s="590"/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</row>
    <row r="20" spans="1:12" ht="15.75" customHeight="1">
      <c r="A20" s="386" t="s">
        <v>56</v>
      </c>
      <c r="B20" s="589" t="s">
        <v>85</v>
      </c>
      <c r="C20" s="590"/>
      <c r="D20" s="590"/>
      <c r="E20" s="590"/>
      <c r="F20" s="590"/>
      <c r="G20" s="590"/>
      <c r="H20" s="590"/>
      <c r="I20" s="590"/>
      <c r="J20" s="590"/>
      <c r="K20" s="590"/>
      <c r="L20" s="590"/>
    </row>
    <row r="21" spans="1:12" s="12" customFormat="1" ht="15.75" customHeight="1">
      <c r="A21" s="591"/>
      <c r="B21" s="537">
        <f>Parâmetros!B10</f>
        <v>2016</v>
      </c>
      <c r="C21" s="537">
        <f>B21+1</f>
        <v>2017</v>
      </c>
      <c r="D21" s="537" t="s">
        <v>119</v>
      </c>
      <c r="E21" s="537">
        <f>C21+1</f>
        <v>2018</v>
      </c>
      <c r="F21" s="540" t="s">
        <v>119</v>
      </c>
      <c r="G21" s="540">
        <f>E21+1</f>
        <v>2019</v>
      </c>
      <c r="H21" s="540" t="s">
        <v>119</v>
      </c>
      <c r="I21" s="540">
        <f>G21+1</f>
        <v>2020</v>
      </c>
      <c r="J21" s="540" t="s">
        <v>119</v>
      </c>
      <c r="K21" s="540">
        <f>I21+1</f>
        <v>2021</v>
      </c>
      <c r="L21" s="583" t="s">
        <v>119</v>
      </c>
    </row>
    <row r="22" spans="1:12" s="12" customFormat="1" ht="15.75" customHeight="1">
      <c r="A22" s="592"/>
      <c r="B22" s="539"/>
      <c r="C22" s="539"/>
      <c r="D22" s="539"/>
      <c r="E22" s="539"/>
      <c r="F22" s="542"/>
      <c r="G22" s="542"/>
      <c r="H22" s="542"/>
      <c r="I22" s="542"/>
      <c r="J22" s="542"/>
      <c r="K22" s="542"/>
      <c r="L22" s="585"/>
    </row>
    <row r="23" spans="1:12" ht="12.75">
      <c r="A23" s="395" t="s">
        <v>80</v>
      </c>
      <c r="B23" s="445">
        <f>B11*((1+Parâmetros!C11)*(1+Parâmetros!D11))</f>
        <v>19456842.174714394</v>
      </c>
      <c r="C23" s="437">
        <f>C11*(1+Parâmetros!D11)</f>
        <v>20011445.97992</v>
      </c>
      <c r="D23" s="444">
        <f>IF(B23=0,"-",(C23/B23)-1)</f>
        <v>0.02850430713398877</v>
      </c>
      <c r="E23" s="437">
        <f>E11</f>
        <v>21092039.4</v>
      </c>
      <c r="F23" s="444">
        <f>IF(C23=0,"-",(E23/C23)-1)</f>
        <v>0.05399876756353805</v>
      </c>
      <c r="G23" s="445">
        <f>'Metas Cons'!C11</f>
        <v>22519652.628099374</v>
      </c>
      <c r="H23" s="444">
        <f>IF(E23=0,"-",(G23/E23)-1)</f>
        <v>0.06768493084169824</v>
      </c>
      <c r="I23" s="445">
        <f>'Metas Cons'!G11</f>
        <v>24318703.47117415</v>
      </c>
      <c r="J23" s="444">
        <f>IF(G23=0,"-",(I23/G23)-1)</f>
        <v>0.07988803703081859</v>
      </c>
      <c r="K23" s="445">
        <f>'Metas Cons'!K11</f>
        <v>26282458.83700267</v>
      </c>
      <c r="L23" s="444">
        <f>IF(I23=0,"-",(K23/I23)-1)</f>
        <v>0.08075082490134511</v>
      </c>
    </row>
    <row r="24" spans="1:12" ht="12.75">
      <c r="A24" s="395" t="s">
        <v>127</v>
      </c>
      <c r="B24" s="445">
        <f>B12*((1+Parâmetros!C11)*(1+Parâmetros!D11))</f>
        <v>19615867.1324836</v>
      </c>
      <c r="C24" s="437">
        <f>C12*(1+Parâmetros!D11)</f>
        <v>19893220.11004</v>
      </c>
      <c r="D24" s="444">
        <f aca="true" t="shared" si="5" ref="D24:D30">IF(B24=0,"-",(C24/B24)-1)</f>
        <v>0.014139215752389855</v>
      </c>
      <c r="E24" s="437">
        <f>E12</f>
        <v>20969848</v>
      </c>
      <c r="F24" s="444">
        <f>IF(C24=0,"-",(E24/C24)-1)</f>
        <v>0.05412034270995836</v>
      </c>
      <c r="G24" s="447">
        <f>'Metas Cons'!C12</f>
        <v>22447210.544621404</v>
      </c>
      <c r="H24" s="444">
        <f aca="true" t="shared" si="6" ref="H24:H30">IF(E24=0,"-",(G24/E24)-1)</f>
        <v>0.07045175266036274</v>
      </c>
      <c r="I24" s="447">
        <f>'Metas Cons'!G12</f>
        <v>24244812.546026617</v>
      </c>
      <c r="J24" s="444">
        <f aca="true" t="shared" si="7" ref="J24:J30">IF(G24=0,"-",(I24/G24)-1)</f>
        <v>0.0800813088927852</v>
      </c>
      <c r="K24" s="447">
        <f>'Metas Cons'!K12</f>
        <v>26207090.093352187</v>
      </c>
      <c r="L24" s="444">
        <f aca="true" t="shared" si="8" ref="L24:L30">IF(I24=0,"-",(K24/I24)-1)</f>
        <v>0.08093597521533158</v>
      </c>
    </row>
    <row r="25" spans="1:12" ht="12.75">
      <c r="A25" s="395" t="s">
        <v>81</v>
      </c>
      <c r="B25" s="445">
        <f>B13*((1+Parâmetros!C11)*(1+Parâmetros!D11))</f>
        <v>19456842.174714394</v>
      </c>
      <c r="C25" s="437">
        <f>C13*(1+Parâmetros!D11)</f>
        <v>20011445.97992</v>
      </c>
      <c r="D25" s="444">
        <f t="shared" si="5"/>
        <v>0.02850430713398877</v>
      </c>
      <c r="E25" s="437">
        <f>E13</f>
        <v>21092039.4</v>
      </c>
      <c r="F25" s="444">
        <f aca="true" t="shared" si="9" ref="F25:F30">IF(C25=0,"-",(E25/C25)-1)</f>
        <v>0.05399876756353805</v>
      </c>
      <c r="G25" s="447">
        <f>'Metas Cons'!C13</f>
        <v>22234949.39297099</v>
      </c>
      <c r="H25" s="444">
        <f t="shared" si="6"/>
        <v>0.05418679395084913</v>
      </c>
      <c r="I25" s="447">
        <f>'Metas Cons'!G13</f>
        <v>24305787.27548135</v>
      </c>
      <c r="J25" s="444">
        <f t="shared" si="7"/>
        <v>0.0931343645497571</v>
      </c>
      <c r="K25" s="447">
        <f>'Metas Cons'!K13</f>
        <v>26707779.676359262</v>
      </c>
      <c r="L25" s="444">
        <f t="shared" si="8"/>
        <v>0.098823888058172</v>
      </c>
    </row>
    <row r="26" spans="1:12" ht="12.75">
      <c r="A26" s="395" t="s">
        <v>122</v>
      </c>
      <c r="B26" s="445">
        <f>B14*((1+Parâmetros!C11)*(1+Parâmetros!D11))</f>
        <v>18227805.749587655</v>
      </c>
      <c r="C26" s="437">
        <f>C14*(1+Parâmetros!D11)</f>
        <v>18635382.4606</v>
      </c>
      <c r="D26" s="444">
        <f t="shared" si="5"/>
        <v>0.02236016318209688</v>
      </c>
      <c r="E26" s="437">
        <f>E14</f>
        <v>20757096</v>
      </c>
      <c r="F26" s="444">
        <f t="shared" si="9"/>
        <v>0.11385403781681691</v>
      </c>
      <c r="G26" s="447">
        <f>'Metas Cons'!C14</f>
        <v>21936779.90641974</v>
      </c>
      <c r="H26" s="444">
        <f t="shared" si="6"/>
        <v>0.0568328010054846</v>
      </c>
      <c r="I26" s="447">
        <f>'Metas Cons'!G14</f>
        <v>24007617.788930096</v>
      </c>
      <c r="J26" s="444">
        <f t="shared" si="7"/>
        <v>0.09440026710138683</v>
      </c>
      <c r="K26" s="447">
        <f>'Metas Cons'!K14</f>
        <v>26409610.18980801</v>
      </c>
      <c r="L26" s="444">
        <f t="shared" si="8"/>
        <v>0.10005125964582273</v>
      </c>
    </row>
    <row r="27" spans="1:12" ht="12.75">
      <c r="A27" s="395" t="s">
        <v>82</v>
      </c>
      <c r="B27" s="445">
        <f>B24-B26</f>
        <v>1388061.3828959465</v>
      </c>
      <c r="C27" s="447">
        <f>C24-C26</f>
        <v>1257837.6494400017</v>
      </c>
      <c r="D27" s="444">
        <f t="shared" si="5"/>
        <v>-0.09381698465254884</v>
      </c>
      <c r="E27" s="447">
        <f>E24-E26</f>
        <v>212752</v>
      </c>
      <c r="F27" s="444">
        <f t="shared" si="9"/>
        <v>-0.8308589347005803</v>
      </c>
      <c r="G27" s="447">
        <f>'Metas Cons'!C15</f>
        <v>510430.63820166624</v>
      </c>
      <c r="H27" s="444">
        <f t="shared" si="6"/>
        <v>1.399181385846743</v>
      </c>
      <c r="I27" s="447">
        <f>'Metas Cons'!G15</f>
        <v>237194.75709652333</v>
      </c>
      <c r="J27" s="444">
        <f t="shared" si="7"/>
        <v>-0.5353046244790463</v>
      </c>
      <c r="K27" s="447">
        <f>'Metas Cons'!K15</f>
        <v>-202520.09645582535</v>
      </c>
      <c r="L27" s="444">
        <f t="shared" si="8"/>
        <v>-1.8538135451847801</v>
      </c>
    </row>
    <row r="28" spans="1:12" ht="12.75">
      <c r="A28" s="395" t="s">
        <v>83</v>
      </c>
      <c r="B28" s="445">
        <f>B16*((1+Parâmetros!C11)*(1+Parâmetros!D11))</f>
        <v>-1448574.875522104</v>
      </c>
      <c r="C28" s="437">
        <f>C16*(1+Parâmetros!D11)</f>
        <v>-1756347.252</v>
      </c>
      <c r="D28" s="444">
        <f t="shared" si="5"/>
        <v>0.21246563203504887</v>
      </c>
      <c r="E28" s="437">
        <f>E16</f>
        <v>-715701.03</v>
      </c>
      <c r="F28" s="444">
        <f t="shared" si="9"/>
        <v>-0.5925059641907305</v>
      </c>
      <c r="G28" s="447">
        <f>'Metas Cons'!C16</f>
        <v>510430.63820166624</v>
      </c>
      <c r="H28" s="444">
        <f t="shared" si="6"/>
        <v>-1.7131897493589834</v>
      </c>
      <c r="I28" s="447">
        <f>'Metas Cons'!G16</f>
        <v>237194.75709652333</v>
      </c>
      <c r="J28" s="444">
        <f t="shared" si="7"/>
        <v>-0.5353046244790463</v>
      </c>
      <c r="K28" s="447">
        <f>'Metas Cons'!K16</f>
        <v>-202520.09645582535</v>
      </c>
      <c r="L28" s="444">
        <f t="shared" si="8"/>
        <v>-1.8538135451847801</v>
      </c>
    </row>
    <row r="29" spans="1:12" ht="12.75">
      <c r="A29" s="395" t="s">
        <v>84</v>
      </c>
      <c r="B29" s="445">
        <f>B17*((1+Parâmetros!C11)*(1+Parâmetros!D11))</f>
        <v>6339.229823328001</v>
      </c>
      <c r="C29" s="437">
        <f>C17*(1+Parâmetros!D11)</f>
        <v>-305880.37200000003</v>
      </c>
      <c r="D29" s="444">
        <f t="shared" si="5"/>
        <v>-49.25197705790345</v>
      </c>
      <c r="E29" s="437">
        <f>E17</f>
        <v>736477.44</v>
      </c>
      <c r="F29" s="444">
        <f t="shared" si="9"/>
        <v>-3.4077303005241535</v>
      </c>
      <c r="G29" s="447">
        <f>'Metas Cons'!C17</f>
        <v>582752.4640522875</v>
      </c>
      <c r="H29" s="444">
        <f t="shared" si="6"/>
        <v>-0.2087300541720768</v>
      </c>
      <c r="I29" s="447">
        <f>'Metas Cons'!G17</f>
        <v>757991.5730486707</v>
      </c>
      <c r="J29" s="444">
        <f t="shared" si="7"/>
        <v>0.3007093402537029</v>
      </c>
      <c r="K29" s="447">
        <f>'Metas Cons'!K17</f>
        <v>661485.8539374343</v>
      </c>
      <c r="L29" s="444">
        <f t="shared" si="8"/>
        <v>-0.12731766756071805</v>
      </c>
    </row>
    <row r="30" spans="1:12" ht="12.75">
      <c r="A30" s="396" t="s">
        <v>78</v>
      </c>
      <c r="B30" s="445">
        <f>B18*((1+Parâmetros!C11)*(1+Parâmetros!D11))</f>
        <v>-1448574.875522104</v>
      </c>
      <c r="C30" s="437">
        <f>C18*(1+Parâmetros!D11)</f>
        <v>-1756347.252</v>
      </c>
      <c r="D30" s="444">
        <f t="shared" si="5"/>
        <v>0.21246563203504887</v>
      </c>
      <c r="E30" s="437">
        <f>E18</f>
        <v>-715701.03</v>
      </c>
      <c r="F30" s="444">
        <f t="shared" si="9"/>
        <v>-0.5925059641907305</v>
      </c>
      <c r="G30" s="448">
        <f>'Metas Cons'!C18</f>
        <v>-718610.294117647</v>
      </c>
      <c r="H30" s="444">
        <f t="shared" si="6"/>
        <v>0.00406491537066378</v>
      </c>
      <c r="I30" s="445">
        <f>IF('Metas Cons'!G18=0,"0",('Metas Cons'!G18))</f>
        <v>-499732.19873116317</v>
      </c>
      <c r="J30" s="444">
        <f t="shared" si="7"/>
        <v>-0.30458524902601836</v>
      </c>
      <c r="K30" s="445">
        <f>IF('Metas Cons'!K18=0,"0",('Metas Cons'!K18))</f>
        <v>-614229.954094929</v>
      </c>
      <c r="L30" s="444">
        <f t="shared" si="8"/>
        <v>0.22911822703135698</v>
      </c>
    </row>
    <row r="31" spans="1:12" ht="12.75">
      <c r="A31" s="550" t="s">
        <v>216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</row>
  </sheetData>
  <sheetProtection/>
  <mergeCells count="35">
    <mergeCell ref="A5:L5"/>
    <mergeCell ref="J9:J10"/>
    <mergeCell ref="K9:K10"/>
    <mergeCell ref="L9:L10"/>
    <mergeCell ref="A6:L6"/>
    <mergeCell ref="A9:A10"/>
    <mergeCell ref="B9:B10"/>
    <mergeCell ref="C9:C10"/>
    <mergeCell ref="A31:L31"/>
    <mergeCell ref="F21:F22"/>
    <mergeCell ref="I21:I22"/>
    <mergeCell ref="J21:J22"/>
    <mergeCell ref="K21:K22"/>
    <mergeCell ref="A7:B7"/>
    <mergeCell ref="E9:E10"/>
    <mergeCell ref="C21:C22"/>
    <mergeCell ref="D21:D22"/>
    <mergeCell ref="A19:L19"/>
    <mergeCell ref="A1:L1"/>
    <mergeCell ref="A2:L2"/>
    <mergeCell ref="A3:L3"/>
    <mergeCell ref="A4:L4"/>
    <mergeCell ref="B8:L8"/>
    <mergeCell ref="L21:L22"/>
    <mergeCell ref="G21:G22"/>
    <mergeCell ref="H21:H22"/>
    <mergeCell ref="A21:A22"/>
    <mergeCell ref="B21:B22"/>
    <mergeCell ref="B20:L20"/>
    <mergeCell ref="E21:E22"/>
    <mergeCell ref="F9:F10"/>
    <mergeCell ref="G9:G10"/>
    <mergeCell ref="H9:H10"/>
    <mergeCell ref="D9:D10"/>
    <mergeCell ref="I9:I10"/>
  </mergeCells>
  <printOptions/>
  <pageMargins left="0.54" right="0.787401575" top="0.984251969" bottom="0.984251969" header="0.492125985" footer="0.492125985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4"/>
  <dimension ref="A1:G27"/>
  <sheetViews>
    <sheetView zoomScaleSheetLayoutView="90" zoomScalePageLayoutView="0" workbookViewId="0" topLeftCell="A1">
      <selection activeCell="D40" sqref="D40"/>
    </sheetView>
  </sheetViews>
  <sheetFormatPr defaultColWidth="9.140625" defaultRowHeight="12.75"/>
  <cols>
    <col min="1" max="1" width="22.00390625" style="11" customWidth="1"/>
    <col min="2" max="2" width="17.57421875" style="11" customWidth="1"/>
    <col min="3" max="3" width="10.140625" style="11" customWidth="1"/>
    <col min="4" max="4" width="17.7109375" style="11" customWidth="1"/>
    <col min="5" max="5" width="10.421875" style="11" customWidth="1"/>
    <col min="6" max="6" width="18.00390625" style="11" customWidth="1"/>
    <col min="7" max="7" width="10.7109375" style="11" customWidth="1"/>
    <col min="8" max="16384" width="9.140625" style="11" customWidth="1"/>
  </cols>
  <sheetData>
    <row r="1" spans="1:7" ht="15.75">
      <c r="A1" s="602" t="str">
        <f>Parâmetros!A7</f>
        <v>Município de Barra do Quaraí</v>
      </c>
      <c r="B1" s="598"/>
      <c r="C1" s="598"/>
      <c r="D1" s="598"/>
      <c r="E1" s="598"/>
      <c r="F1" s="598"/>
      <c r="G1" s="599"/>
    </row>
    <row r="2" spans="1:7" ht="15.75">
      <c r="A2" s="597" t="s">
        <v>36</v>
      </c>
      <c r="B2" s="598"/>
      <c r="C2" s="598"/>
      <c r="D2" s="598"/>
      <c r="E2" s="598"/>
      <c r="F2" s="598"/>
      <c r="G2" s="599"/>
    </row>
    <row r="3" spans="1:7" ht="15.75">
      <c r="A3" s="597" t="str">
        <f>'Metas Cons'!A3:M3</f>
        <v>ANEXO DE METAS FISCAIS</v>
      </c>
      <c r="B3" s="598"/>
      <c r="C3" s="598"/>
      <c r="D3" s="598"/>
      <c r="E3" s="598"/>
      <c r="F3" s="598"/>
      <c r="G3" s="599"/>
    </row>
    <row r="4" spans="1:7" ht="15.75">
      <c r="A4" s="606" t="s">
        <v>503</v>
      </c>
      <c r="B4" s="607"/>
      <c r="C4" s="607"/>
      <c r="D4" s="607"/>
      <c r="E4" s="607"/>
      <c r="F4" s="607"/>
      <c r="G4" s="608"/>
    </row>
    <row r="5" spans="1:7" ht="15.75">
      <c r="A5" s="597" t="s">
        <v>617</v>
      </c>
      <c r="B5" s="598"/>
      <c r="C5" s="598"/>
      <c r="D5" s="598"/>
      <c r="E5" s="598"/>
      <c r="F5" s="598"/>
      <c r="G5" s="599"/>
    </row>
    <row r="6" spans="1:7" ht="15.75">
      <c r="A6" s="597"/>
      <c r="B6" s="598"/>
      <c r="C6" s="598"/>
      <c r="D6" s="598"/>
      <c r="E6" s="598"/>
      <c r="F6" s="598"/>
      <c r="G6" s="599"/>
    </row>
    <row r="7" spans="1:7" ht="15.75">
      <c r="A7" s="604" t="s">
        <v>510</v>
      </c>
      <c r="B7" s="605"/>
      <c r="C7" s="397"/>
      <c r="D7" s="397"/>
      <c r="E7" s="397"/>
      <c r="F7" s="397"/>
      <c r="G7" s="400">
        <v>1</v>
      </c>
    </row>
    <row r="8" spans="1:7" s="12" customFormat="1" ht="25.5" customHeight="1">
      <c r="A8" s="401" t="s">
        <v>86</v>
      </c>
      <c r="B8" s="401">
        <v>2018</v>
      </c>
      <c r="C8" s="401" t="s">
        <v>13</v>
      </c>
      <c r="D8" s="401">
        <f>B8-1</f>
        <v>2017</v>
      </c>
      <c r="E8" s="401" t="s">
        <v>13</v>
      </c>
      <c r="F8" s="401">
        <v>2016</v>
      </c>
      <c r="G8" s="402" t="s">
        <v>13</v>
      </c>
    </row>
    <row r="9" spans="1:7" ht="15.75">
      <c r="A9" s="403" t="s">
        <v>87</v>
      </c>
      <c r="B9" s="449">
        <v>12044368.36</v>
      </c>
      <c r="C9" s="450">
        <f>IF(B12=0,"-",(B9/B12))</f>
        <v>0.5</v>
      </c>
      <c r="D9" s="449">
        <v>12384256.37</v>
      </c>
      <c r="E9" s="450">
        <f>IF(D12=0,"-",(D9/D12))</f>
        <v>0.49999999999999994</v>
      </c>
      <c r="F9" s="449">
        <v>0</v>
      </c>
      <c r="G9" s="450">
        <f>IF(F12=0,"-",(F9/F12))</f>
        <v>0</v>
      </c>
    </row>
    <row r="10" spans="1:7" ht="15.75">
      <c r="A10" s="403" t="s">
        <v>41</v>
      </c>
      <c r="B10" s="455">
        <v>4511293.98</v>
      </c>
      <c r="C10" s="450">
        <f>IF(B12=0,"-",(B10/B12))</f>
        <v>0.18727814714560925</v>
      </c>
      <c r="D10" s="455">
        <v>4511293.98</v>
      </c>
      <c r="E10" s="450">
        <f>IF(D12=0,"-",(D10/D12))</f>
        <v>0.1821382667322802</v>
      </c>
      <c r="F10" s="398">
        <v>4511293.98</v>
      </c>
      <c r="G10" s="450">
        <f>IF(F12=0,"-",(F10/F12))</f>
        <v>0.34056210718568014</v>
      </c>
    </row>
    <row r="11" spans="1:7" ht="15.75">
      <c r="A11" s="404" t="s">
        <v>88</v>
      </c>
      <c r="B11" s="399">
        <v>7533074.38</v>
      </c>
      <c r="C11" s="453">
        <f>IF(B12=0,"-",(B11/B12))</f>
        <v>0.3127218528543908</v>
      </c>
      <c r="D11" s="399">
        <v>7872962.39</v>
      </c>
      <c r="E11" s="453">
        <f>IF(D12=0,"-",(D11/D12))</f>
        <v>0.31786173326771977</v>
      </c>
      <c r="F11" s="399">
        <v>8735317.68</v>
      </c>
      <c r="G11" s="453">
        <f>IF(F12=0,"-",(F11/F12))</f>
        <v>0.6594378928143199</v>
      </c>
    </row>
    <row r="12" spans="1:7" ht="15.75">
      <c r="A12" s="405" t="s">
        <v>89</v>
      </c>
      <c r="B12" s="454">
        <f>SUM(B9:B11)</f>
        <v>24088736.72</v>
      </c>
      <c r="C12" s="453">
        <f>IF(B12=0,"-",(B12/B12))</f>
        <v>1</v>
      </c>
      <c r="D12" s="454">
        <f>SUM(D9:D11)</f>
        <v>24768512.740000002</v>
      </c>
      <c r="E12" s="453">
        <f>IF(D12=0,"-",(D12/D12))</f>
        <v>1</v>
      </c>
      <c r="F12" s="454">
        <f>SUM(F9:F11)</f>
        <v>13246611.66</v>
      </c>
      <c r="G12" s="453">
        <f>IF(F12=0,"-",(F12/F12))</f>
        <v>1</v>
      </c>
    </row>
    <row r="13" spans="1:7" ht="15.75">
      <c r="A13" s="603"/>
      <c r="B13" s="603"/>
      <c r="C13" s="603"/>
      <c r="D13" s="603"/>
      <c r="E13" s="603"/>
      <c r="F13" s="603"/>
      <c r="G13" s="603"/>
    </row>
    <row r="14" spans="1:7" ht="15.75" customHeight="1">
      <c r="A14" s="600" t="s">
        <v>90</v>
      </c>
      <c r="B14" s="600"/>
      <c r="C14" s="600"/>
      <c r="D14" s="600"/>
      <c r="E14" s="600"/>
      <c r="F14" s="600"/>
      <c r="G14" s="600"/>
    </row>
    <row r="15" spans="1:7" s="12" customFormat="1" ht="25.5" customHeight="1">
      <c r="A15" s="401" t="s">
        <v>86</v>
      </c>
      <c r="B15" s="401">
        <v>2018</v>
      </c>
      <c r="C15" s="401" t="s">
        <v>13</v>
      </c>
      <c r="D15" s="401">
        <f>B15-1</f>
        <v>2017</v>
      </c>
      <c r="E15" s="401" t="s">
        <v>13</v>
      </c>
      <c r="F15" s="401">
        <f>D15-1</f>
        <v>2016</v>
      </c>
      <c r="G15" s="402" t="s">
        <v>13</v>
      </c>
    </row>
    <row r="16" spans="1:7" ht="15.75">
      <c r="A16" s="403" t="s">
        <v>87</v>
      </c>
      <c r="B16" s="449">
        <f>D19</f>
        <v>0</v>
      </c>
      <c r="C16" s="450" t="str">
        <f>IF(B19=0,"-",(B16/B19))</f>
        <v>-</v>
      </c>
      <c r="D16" s="449">
        <f>F19</f>
        <v>0</v>
      </c>
      <c r="E16" s="450" t="str">
        <f>IF(D19=0,"-",(D16/D19))</f>
        <v>-</v>
      </c>
      <c r="F16" s="449">
        <v>0</v>
      </c>
      <c r="G16" s="450" t="str">
        <f>IF(F19=0,"-",(F16/F19))</f>
        <v>-</v>
      </c>
    </row>
    <row r="17" spans="1:7" ht="15.75">
      <c r="A17" s="403" t="s">
        <v>41</v>
      </c>
      <c r="B17" s="398"/>
      <c r="C17" s="450" t="str">
        <f>IF(B19=0,"-",(B17/B19))</f>
        <v>-</v>
      </c>
      <c r="D17" s="398"/>
      <c r="E17" s="450" t="str">
        <f>IF(D19=0,"-",(D17/D19))</f>
        <v>-</v>
      </c>
      <c r="F17" s="398"/>
      <c r="G17" s="450" t="str">
        <f>IF(F19=0,"-",(F17/F19))</f>
        <v>-</v>
      </c>
    </row>
    <row r="18" spans="1:7" ht="31.5">
      <c r="A18" s="404" t="s">
        <v>626</v>
      </c>
      <c r="B18" s="399">
        <v>0</v>
      </c>
      <c r="C18" s="453" t="str">
        <f>IF(B19=0,"-",(B18/B19))</f>
        <v>-</v>
      </c>
      <c r="D18" s="399">
        <v>0</v>
      </c>
      <c r="E18" s="453" t="str">
        <f>IF(D19=0,"-",(D18/D19))</f>
        <v>-</v>
      </c>
      <c r="F18" s="399">
        <v>0</v>
      </c>
      <c r="G18" s="453" t="str">
        <f>IF(F19=0,"-",(F18/F19))</f>
        <v>-</v>
      </c>
    </row>
    <row r="19" spans="1:7" ht="15.75">
      <c r="A19" s="405" t="s">
        <v>89</v>
      </c>
      <c r="B19" s="454">
        <f>SUM(B16:B18)</f>
        <v>0</v>
      </c>
      <c r="C19" s="453" t="str">
        <f>IF(B19=0,"-",(B19/B19))</f>
        <v>-</v>
      </c>
      <c r="D19" s="454">
        <f>SUM(D16:D18)</f>
        <v>0</v>
      </c>
      <c r="E19" s="453" t="str">
        <f>IF(D19=0,"-",(D19/D19))</f>
        <v>-</v>
      </c>
      <c r="F19" s="454">
        <f>SUM(F16:F18)</f>
        <v>0</v>
      </c>
      <c r="G19" s="453" t="str">
        <f>IF(F19=0,"-",(F19/F19))</f>
        <v>-</v>
      </c>
    </row>
    <row r="20" spans="1:7" ht="15.75">
      <c r="A20" s="601"/>
      <c r="B20" s="601"/>
      <c r="C20" s="601"/>
      <c r="D20" s="601"/>
      <c r="E20" s="601"/>
      <c r="F20" s="601"/>
      <c r="G20" s="601"/>
    </row>
    <row r="21" spans="1:7" ht="15.75" customHeight="1">
      <c r="A21" s="600" t="s">
        <v>181</v>
      </c>
      <c r="B21" s="600"/>
      <c r="C21" s="600"/>
      <c r="D21" s="600"/>
      <c r="E21" s="600"/>
      <c r="F21" s="600"/>
      <c r="G21" s="600"/>
    </row>
    <row r="22" spans="1:7" s="12" customFormat="1" ht="25.5" customHeight="1">
      <c r="A22" s="401" t="s">
        <v>86</v>
      </c>
      <c r="B22" s="401">
        <v>2018</v>
      </c>
      <c r="C22" s="401" t="s">
        <v>13</v>
      </c>
      <c r="D22" s="401">
        <v>2017</v>
      </c>
      <c r="E22" s="401" t="s">
        <v>13</v>
      </c>
      <c r="F22" s="401">
        <v>2016</v>
      </c>
      <c r="G22" s="402" t="s">
        <v>13</v>
      </c>
    </row>
    <row r="23" spans="1:7" ht="15.75">
      <c r="A23" s="403" t="s">
        <v>87</v>
      </c>
      <c r="B23" s="449">
        <f>B9+B16</f>
        <v>12044368.36</v>
      </c>
      <c r="C23" s="450">
        <f>IF(B26=0,"-",(B23/B26))</f>
        <v>0.5</v>
      </c>
      <c r="D23" s="449">
        <f>D9+D16</f>
        <v>12384256.37</v>
      </c>
      <c r="E23" s="450">
        <f>IF(D26=0,"-",(D23/D26))</f>
        <v>0.49999999999999994</v>
      </c>
      <c r="F23" s="449">
        <f>F9+F16</f>
        <v>0</v>
      </c>
      <c r="G23" s="450">
        <f>IF(F26=0,"-",(F23/F26))</f>
        <v>0</v>
      </c>
    </row>
    <row r="24" spans="1:7" ht="15.75">
      <c r="A24" s="403" t="s">
        <v>41</v>
      </c>
      <c r="B24" s="451">
        <f>B10+B17</f>
        <v>4511293.98</v>
      </c>
      <c r="C24" s="450">
        <f>IF(B26=0,"-",(B24/B26))</f>
        <v>0.18727814714560925</v>
      </c>
      <c r="D24" s="451">
        <f>D10+D17</f>
        <v>4511293.98</v>
      </c>
      <c r="E24" s="450">
        <f>IF(D26=0,"-",(D24/D26))</f>
        <v>0.1821382667322802</v>
      </c>
      <c r="F24" s="451">
        <f>F10+F17</f>
        <v>4511293.98</v>
      </c>
      <c r="G24" s="450">
        <f>IF(F26=0,"-",(F24/F26))</f>
        <v>0.34056210718568014</v>
      </c>
    </row>
    <row r="25" spans="1:7" ht="15.75">
      <c r="A25" s="404" t="s">
        <v>88</v>
      </c>
      <c r="B25" s="452">
        <f>B11+B18</f>
        <v>7533074.38</v>
      </c>
      <c r="C25" s="453">
        <f>IF(B26=0,"-",(B25/B26))</f>
        <v>0.3127218528543908</v>
      </c>
      <c r="D25" s="452">
        <f>D11+D18</f>
        <v>7872962.39</v>
      </c>
      <c r="E25" s="453">
        <f>IF(D26=0,"-",(D25/D26))</f>
        <v>0.31786173326771977</v>
      </c>
      <c r="F25" s="452">
        <f>F11+F18</f>
        <v>8735317.68</v>
      </c>
      <c r="G25" s="453">
        <f>IF(F26=0,"-",(F25/F26))</f>
        <v>0.6594378928143199</v>
      </c>
    </row>
    <row r="26" spans="1:7" ht="15.75">
      <c r="A26" s="405" t="s">
        <v>89</v>
      </c>
      <c r="B26" s="454">
        <f>SUM(B23:B25)</f>
        <v>24088736.72</v>
      </c>
      <c r="C26" s="453">
        <f>IF(B26=0,"-",(B26/B26))</f>
        <v>1</v>
      </c>
      <c r="D26" s="454">
        <f>SUM(D23:D25)</f>
        <v>24768512.740000002</v>
      </c>
      <c r="E26" s="453">
        <f>IF(D26=0,"-",(D26/D26))</f>
        <v>1</v>
      </c>
      <c r="F26" s="454">
        <f>SUM(F23:F25)</f>
        <v>13246611.66</v>
      </c>
      <c r="G26" s="453">
        <f>IF(F26=0,"-",(F26/F26))</f>
        <v>1</v>
      </c>
    </row>
    <row r="27" spans="1:7" ht="15.75">
      <c r="A27" s="595" t="s">
        <v>216</v>
      </c>
      <c r="B27" s="596"/>
      <c r="C27" s="596"/>
      <c r="D27" s="596"/>
      <c r="E27" s="596"/>
      <c r="F27" s="596"/>
      <c r="G27" s="596"/>
    </row>
  </sheetData>
  <sheetProtection/>
  <mergeCells count="12">
    <mergeCell ref="A4:G4"/>
    <mergeCell ref="A5:G5"/>
    <mergeCell ref="A27:G27"/>
    <mergeCell ref="A6:G6"/>
    <mergeCell ref="A21:G21"/>
    <mergeCell ref="A20:G20"/>
    <mergeCell ref="A1:G1"/>
    <mergeCell ref="A2:G2"/>
    <mergeCell ref="A13:G13"/>
    <mergeCell ref="A14:G14"/>
    <mergeCell ref="A7:B7"/>
    <mergeCell ref="A3:G3"/>
  </mergeCells>
  <printOptions/>
  <pageMargins left="0.787401575" right="0.787401575" top="0.984251969" bottom="0.984251969" header="0.492125985" footer="0.492125985"/>
  <pageSetup horizontalDpi="600" verticalDpi="600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/>
  <dimension ref="A1:F30"/>
  <sheetViews>
    <sheetView zoomScale="90" zoomScaleNormal="90" zoomScaleSheetLayoutView="90" zoomScalePageLayoutView="0" workbookViewId="0" topLeftCell="A1">
      <selection activeCell="G35" sqref="G35"/>
    </sheetView>
  </sheetViews>
  <sheetFormatPr defaultColWidth="9.140625" defaultRowHeight="12.75"/>
  <cols>
    <col min="1" max="1" width="58.7109375" style="13" customWidth="1"/>
    <col min="2" max="3" width="14.7109375" style="13" customWidth="1"/>
    <col min="4" max="4" width="15.7109375" style="13" customWidth="1"/>
    <col min="5" max="5" width="8.28125" style="13" customWidth="1"/>
    <col min="6" max="16384" width="9.140625" style="13" customWidth="1"/>
  </cols>
  <sheetData>
    <row r="1" spans="1:4" ht="15.75">
      <c r="A1" s="602" t="str">
        <f>Parâmetros!A7</f>
        <v>Município de Barra do Quaraí</v>
      </c>
      <c r="B1" s="598"/>
      <c r="C1" s="598"/>
      <c r="D1" s="599"/>
    </row>
    <row r="2" spans="1:4" ht="15.75">
      <c r="A2" s="597" t="s">
        <v>36</v>
      </c>
      <c r="B2" s="598"/>
      <c r="C2" s="598"/>
      <c r="D2" s="599"/>
    </row>
    <row r="3" spans="1:4" ht="15.75">
      <c r="A3" s="597" t="str">
        <f>'Metas Cons'!A3:M3</f>
        <v>ANEXO DE METAS FISCAIS</v>
      </c>
      <c r="B3" s="598"/>
      <c r="C3" s="598"/>
      <c r="D3" s="599"/>
    </row>
    <row r="4" spans="1:4" ht="15.75">
      <c r="A4" s="606" t="s">
        <v>504</v>
      </c>
      <c r="B4" s="607"/>
      <c r="C4" s="607"/>
      <c r="D4" s="608"/>
    </row>
    <row r="5" spans="1:4" ht="15.75">
      <c r="A5" s="597" t="s">
        <v>618</v>
      </c>
      <c r="B5" s="598"/>
      <c r="C5" s="598"/>
      <c r="D5" s="599"/>
    </row>
    <row r="6" spans="1:4" ht="15.75">
      <c r="A6" s="597"/>
      <c r="B6" s="598"/>
      <c r="C6" s="598"/>
      <c r="D6" s="599"/>
    </row>
    <row r="7" spans="1:4" ht="15.75">
      <c r="A7" s="406" t="s">
        <v>509</v>
      </c>
      <c r="B7" s="407"/>
      <c r="C7" s="407"/>
      <c r="D7" s="408">
        <v>1</v>
      </c>
    </row>
    <row r="8" spans="1:4" s="14" customFormat="1" ht="25.5" customHeight="1">
      <c r="A8" s="401" t="s">
        <v>91</v>
      </c>
      <c r="B8" s="401">
        <v>2018</v>
      </c>
      <c r="C8" s="401">
        <v>2017</v>
      </c>
      <c r="D8" s="415">
        <v>2016</v>
      </c>
    </row>
    <row r="9" spans="1:4" s="14" customFormat="1" ht="25.5" customHeight="1">
      <c r="A9" s="416" t="s">
        <v>653</v>
      </c>
      <c r="B9" s="456"/>
      <c r="C9" s="456">
        <v>0</v>
      </c>
      <c r="D9" s="409">
        <v>0</v>
      </c>
    </row>
    <row r="10" spans="1:4" ht="12.75" customHeight="1">
      <c r="A10" s="417" t="s">
        <v>627</v>
      </c>
      <c r="B10" s="457">
        <f>B11+B12</f>
        <v>11342</v>
      </c>
      <c r="C10" s="457">
        <f>C11+C12</f>
        <v>33960.85</v>
      </c>
      <c r="D10" s="457">
        <f>D11+D12</f>
        <v>12048.33</v>
      </c>
    </row>
    <row r="11" spans="1:4" ht="12.75" customHeight="1">
      <c r="A11" s="418" t="s">
        <v>92</v>
      </c>
      <c r="B11" s="458">
        <f>Projeções!E83</f>
        <v>0</v>
      </c>
      <c r="C11" s="458">
        <f>Projeções!D83</f>
        <v>0</v>
      </c>
      <c r="D11" s="458">
        <f>Projeções!C83</f>
        <v>0</v>
      </c>
    </row>
    <row r="12" spans="1:4" ht="12.75" customHeight="1">
      <c r="A12" s="419" t="s">
        <v>93</v>
      </c>
      <c r="B12" s="458">
        <f>Projeções!F84</f>
        <v>11342</v>
      </c>
      <c r="C12" s="458">
        <f>Projeções!E84</f>
        <v>33960.85</v>
      </c>
      <c r="D12" s="458">
        <f>Projeções!D84</f>
        <v>12048.33</v>
      </c>
    </row>
    <row r="13" spans="1:4" ht="12.75" customHeight="1">
      <c r="A13" s="419" t="s">
        <v>143</v>
      </c>
      <c r="B13" s="410">
        <v>0</v>
      </c>
      <c r="C13" s="410">
        <v>0</v>
      </c>
      <c r="D13" s="410">
        <v>0</v>
      </c>
    </row>
    <row r="14" spans="1:4" ht="15.75">
      <c r="A14" s="609"/>
      <c r="B14" s="609"/>
      <c r="C14" s="609"/>
      <c r="D14" s="609"/>
    </row>
    <row r="15" spans="1:4" s="14" customFormat="1" ht="14.25">
      <c r="A15" s="611" t="s">
        <v>163</v>
      </c>
      <c r="B15" s="613">
        <v>2018</v>
      </c>
      <c r="C15" s="613">
        <f>B15-1</f>
        <v>2017</v>
      </c>
      <c r="D15" s="615">
        <f>C15-1</f>
        <v>2016</v>
      </c>
    </row>
    <row r="16" spans="1:4" s="14" customFormat="1" ht="14.25">
      <c r="A16" s="612"/>
      <c r="B16" s="614"/>
      <c r="C16" s="614"/>
      <c r="D16" s="616"/>
    </row>
    <row r="17" spans="1:4" ht="15.75">
      <c r="A17" s="417" t="s">
        <v>628</v>
      </c>
      <c r="B17" s="459">
        <f>B18+B22</f>
        <v>404341.71</v>
      </c>
      <c r="C17" s="459">
        <f>C18+C22</f>
        <v>597342.49</v>
      </c>
      <c r="D17" s="459">
        <f>D18+D22</f>
        <v>1179403.42</v>
      </c>
    </row>
    <row r="18" spans="1:4" ht="15.75">
      <c r="A18" s="418" t="s">
        <v>94</v>
      </c>
      <c r="B18" s="460">
        <f>B19+B20+B21</f>
        <v>404341.71</v>
      </c>
      <c r="C18" s="460">
        <f>C19+C20+C21</f>
        <v>597342.49</v>
      </c>
      <c r="D18" s="461">
        <f>D19+D20+D21</f>
        <v>1179403.42</v>
      </c>
    </row>
    <row r="19" spans="1:4" ht="15.75">
      <c r="A19" s="418" t="s">
        <v>95</v>
      </c>
      <c r="B19" s="411">
        <v>63109</v>
      </c>
      <c r="C19" s="411">
        <v>358052.63</v>
      </c>
      <c r="D19" s="412">
        <v>877138.12</v>
      </c>
    </row>
    <row r="20" spans="1:4" ht="15.75">
      <c r="A20" s="418" t="s">
        <v>96</v>
      </c>
      <c r="B20" s="411">
        <v>0</v>
      </c>
      <c r="C20" s="411">
        <v>0</v>
      </c>
      <c r="D20" s="412">
        <v>0</v>
      </c>
    </row>
    <row r="21" spans="1:4" ht="15.75">
      <c r="A21" s="418" t="s">
        <v>97</v>
      </c>
      <c r="B21" s="411">
        <v>341232.71</v>
      </c>
      <c r="C21" s="411">
        <v>239289.86</v>
      </c>
      <c r="D21" s="412">
        <v>302265.3</v>
      </c>
    </row>
    <row r="22" spans="1:4" ht="15.75">
      <c r="A22" s="418" t="s">
        <v>98</v>
      </c>
      <c r="B22" s="460">
        <f>B23+B24</f>
        <v>0</v>
      </c>
      <c r="C22" s="460">
        <f>C23+C24</f>
        <v>0</v>
      </c>
      <c r="D22" s="461">
        <f>D23+D24</f>
        <v>0</v>
      </c>
    </row>
    <row r="23" spans="1:4" ht="15.75">
      <c r="A23" s="418" t="s">
        <v>99</v>
      </c>
      <c r="B23" s="411">
        <v>0</v>
      </c>
      <c r="C23" s="411">
        <v>0</v>
      </c>
      <c r="D23" s="412">
        <v>0</v>
      </c>
    </row>
    <row r="24" spans="1:4" ht="15.75">
      <c r="A24" s="419" t="s">
        <v>100</v>
      </c>
      <c r="B24" s="413">
        <v>0</v>
      </c>
      <c r="C24" s="413">
        <v>0</v>
      </c>
      <c r="D24" s="414">
        <v>0</v>
      </c>
    </row>
    <row r="25" spans="1:4" ht="15.75">
      <c r="A25" s="420" t="s">
        <v>101</v>
      </c>
      <c r="B25" s="462"/>
      <c r="C25" s="462"/>
      <c r="D25" s="463"/>
    </row>
    <row r="26" spans="1:4" ht="15.75">
      <c r="A26" s="421" t="s">
        <v>629</v>
      </c>
      <c r="B26" s="464">
        <f>C26+B10+B13-B17</f>
        <v>-2123736.44</v>
      </c>
      <c r="C26" s="464">
        <f>D26+C10+C13-C17</f>
        <v>-1730736.7299999997</v>
      </c>
      <c r="D26" s="464">
        <f>D9+D10+D13-D17</f>
        <v>-1167355.0899999999</v>
      </c>
    </row>
    <row r="27" spans="1:4" ht="15.75">
      <c r="A27" s="610" t="s">
        <v>216</v>
      </c>
      <c r="B27" s="610"/>
      <c r="C27" s="610"/>
      <c r="D27" s="610"/>
    </row>
    <row r="30" ht="14.25">
      <c r="F30" s="13" t="s">
        <v>651</v>
      </c>
    </row>
  </sheetData>
  <sheetProtection/>
  <mergeCells count="12">
    <mergeCell ref="A5:D5"/>
    <mergeCell ref="A6:D6"/>
    <mergeCell ref="A1:D1"/>
    <mergeCell ref="A2:D2"/>
    <mergeCell ref="A3:D3"/>
    <mergeCell ref="A4:D4"/>
    <mergeCell ref="A14:D14"/>
    <mergeCell ref="A27:D27"/>
    <mergeCell ref="A15:A16"/>
    <mergeCell ref="B15:B16"/>
    <mergeCell ref="C15:C16"/>
    <mergeCell ref="D15:D16"/>
  </mergeCells>
  <printOptions/>
  <pageMargins left="0.45" right="0.49" top="0.984251969" bottom="0.984251969" header="0.492125985" footer="0.492125985"/>
  <pageSetup horizontalDpi="600" verticalDpi="600" orientation="portrait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B11" sqref="B11:C11"/>
    </sheetView>
  </sheetViews>
  <sheetFormatPr defaultColWidth="9.140625" defaultRowHeight="11.25" customHeight="1"/>
  <cols>
    <col min="1" max="1" width="59.28125" style="54" customWidth="1"/>
    <col min="2" max="2" width="13.8515625" style="54" customWidth="1"/>
    <col min="3" max="3" width="7.140625" style="54" customWidth="1"/>
    <col min="4" max="4" width="18.57421875" style="54" hidden="1" customWidth="1"/>
    <col min="5" max="5" width="12.8515625" style="54" hidden="1" customWidth="1"/>
    <col min="6" max="6" width="12.8515625" style="54" customWidth="1"/>
    <col min="7" max="7" width="7.140625" style="54" customWidth="1"/>
    <col min="8" max="8" width="12.8515625" style="54" customWidth="1"/>
    <col min="9" max="9" width="6.28125" style="54" customWidth="1"/>
    <col min="10" max="16384" width="9.140625" style="54" customWidth="1"/>
  </cols>
  <sheetData>
    <row r="1" spans="1:7" ht="11.25" customHeight="1">
      <c r="A1" s="627" t="str">
        <f>Parâmetros!A7</f>
        <v>Município de Barra do Quaraí</v>
      </c>
      <c r="B1" s="628"/>
      <c r="C1" s="628"/>
      <c r="D1" s="628"/>
      <c r="E1" s="628"/>
      <c r="F1" s="628"/>
      <c r="G1" s="628"/>
    </row>
    <row r="2" spans="1:7" s="42" customFormat="1" ht="11.25" customHeight="1">
      <c r="A2" s="629" t="s">
        <v>36</v>
      </c>
      <c r="B2" s="629"/>
      <c r="C2" s="629"/>
      <c r="D2" s="629"/>
      <c r="E2" s="629"/>
      <c r="F2" s="629"/>
      <c r="G2" s="629"/>
    </row>
    <row r="3" spans="1:7" ht="11.25" customHeight="1">
      <c r="A3" s="628" t="s">
        <v>155</v>
      </c>
      <c r="B3" s="628"/>
      <c r="C3" s="628"/>
      <c r="D3" s="628"/>
      <c r="E3" s="628"/>
      <c r="F3" s="628"/>
      <c r="G3" s="628"/>
    </row>
    <row r="4" spans="1:7" ht="11.25" customHeight="1">
      <c r="A4" s="630" t="s">
        <v>486</v>
      </c>
      <c r="B4" s="630"/>
      <c r="C4" s="630"/>
      <c r="D4" s="630"/>
      <c r="E4" s="630"/>
      <c r="F4" s="630"/>
      <c r="G4" s="630"/>
    </row>
    <row r="5" spans="1:7" s="42" customFormat="1" ht="11.25" customHeight="1">
      <c r="A5" s="628" t="s">
        <v>614</v>
      </c>
      <c r="B5" s="629"/>
      <c r="C5" s="629"/>
      <c r="D5" s="629"/>
      <c r="E5" s="629"/>
      <c r="F5" s="629"/>
      <c r="G5" s="629"/>
    </row>
    <row r="6" spans="1:7" s="42" customFormat="1" ht="11.25" customHeight="1">
      <c r="A6" s="631"/>
      <c r="B6" s="631"/>
      <c r="C6" s="631"/>
      <c r="D6" s="631"/>
      <c r="E6" s="631"/>
      <c r="F6" s="631"/>
      <c r="G6" s="632"/>
    </row>
    <row r="7" spans="1:9" s="43" customFormat="1" ht="11.25" customHeight="1" thickBot="1">
      <c r="A7" s="647" t="s">
        <v>419</v>
      </c>
      <c r="B7" s="647"/>
      <c r="C7" s="647"/>
      <c r="D7" s="647"/>
      <c r="E7" s="647"/>
      <c r="F7" s="647"/>
      <c r="G7" s="647"/>
      <c r="H7" s="644">
        <v>1</v>
      </c>
      <c r="I7" s="644"/>
    </row>
    <row r="8" spans="1:9" s="43" customFormat="1" ht="11.25" customHeight="1" thickBot="1">
      <c r="A8" s="633" t="s">
        <v>420</v>
      </c>
      <c r="B8" s="633"/>
      <c r="C8" s="633"/>
      <c r="D8" s="633"/>
      <c r="E8" s="633"/>
      <c r="F8" s="633"/>
      <c r="G8" s="633"/>
      <c r="H8" s="633"/>
      <c r="I8" s="633"/>
    </row>
    <row r="9" spans="1:9" s="42" customFormat="1" ht="11.25" customHeight="1">
      <c r="A9" s="645" t="s">
        <v>421</v>
      </c>
      <c r="B9" s="646"/>
      <c r="C9" s="646"/>
      <c r="D9" s="646"/>
      <c r="E9" s="646"/>
      <c r="F9" s="646"/>
      <c r="G9" s="646"/>
      <c r="H9" s="646"/>
      <c r="I9" s="646"/>
    </row>
    <row r="10" spans="1:9" s="42" customFormat="1" ht="11.25" customHeight="1">
      <c r="A10" s="186"/>
      <c r="B10" s="619">
        <v>2018</v>
      </c>
      <c r="C10" s="620"/>
      <c r="D10" s="620"/>
      <c r="E10" s="621"/>
      <c r="F10" s="622">
        <v>2017</v>
      </c>
      <c r="G10" s="623"/>
      <c r="H10" s="622">
        <v>2016</v>
      </c>
      <c r="I10" s="623"/>
    </row>
    <row r="11" spans="1:9" s="42" customFormat="1" ht="11.25" customHeight="1">
      <c r="A11" s="125" t="s">
        <v>423</v>
      </c>
      <c r="B11" s="617"/>
      <c r="C11" s="617"/>
      <c r="D11" s="154"/>
      <c r="E11" s="155"/>
      <c r="F11" s="617"/>
      <c r="G11" s="617"/>
      <c r="H11" s="617"/>
      <c r="I11" s="617"/>
    </row>
    <row r="12" spans="1:9" s="42" customFormat="1" ht="11.25" customHeight="1">
      <c r="A12" s="126" t="s">
        <v>424</v>
      </c>
      <c r="B12" s="617"/>
      <c r="C12" s="617"/>
      <c r="D12" s="156"/>
      <c r="E12" s="156"/>
      <c r="F12" s="617"/>
      <c r="G12" s="617"/>
      <c r="H12" s="617"/>
      <c r="I12" s="617"/>
    </row>
    <row r="13" spans="1:9" s="42" customFormat="1" ht="11.25" customHeight="1">
      <c r="A13" s="129" t="s">
        <v>425</v>
      </c>
      <c r="B13" s="617"/>
      <c r="C13" s="617"/>
      <c r="D13" s="156"/>
      <c r="E13" s="156"/>
      <c r="F13" s="617"/>
      <c r="G13" s="617"/>
      <c r="H13" s="617"/>
      <c r="I13" s="617"/>
    </row>
    <row r="14" spans="1:9" s="42" customFormat="1" ht="11.25" customHeight="1">
      <c r="A14" s="131" t="s">
        <v>426</v>
      </c>
      <c r="B14" s="617"/>
      <c r="C14" s="617"/>
      <c r="D14" s="156"/>
      <c r="E14" s="156"/>
      <c r="F14" s="617"/>
      <c r="G14" s="617"/>
      <c r="H14" s="617"/>
      <c r="I14" s="617"/>
    </row>
    <row r="15" spans="1:9" s="42" customFormat="1" ht="11.25" customHeight="1">
      <c r="A15" s="131" t="s">
        <v>427</v>
      </c>
      <c r="B15" s="617"/>
      <c r="C15" s="617"/>
      <c r="D15" s="156"/>
      <c r="E15" s="156"/>
      <c r="F15" s="617"/>
      <c r="G15" s="617"/>
      <c r="H15" s="617"/>
      <c r="I15" s="617"/>
    </row>
    <row r="16" spans="1:9" s="42" customFormat="1" ht="11.25" customHeight="1">
      <c r="A16" s="131" t="s">
        <v>428</v>
      </c>
      <c r="B16" s="617"/>
      <c r="C16" s="617"/>
      <c r="D16" s="156"/>
      <c r="E16" s="156"/>
      <c r="F16" s="617"/>
      <c r="G16" s="617"/>
      <c r="H16" s="617"/>
      <c r="I16" s="617"/>
    </row>
    <row r="17" spans="1:9" s="42" customFormat="1" ht="11.25" customHeight="1">
      <c r="A17" s="129" t="s">
        <v>429</v>
      </c>
      <c r="B17" s="617"/>
      <c r="C17" s="617"/>
      <c r="D17" s="156"/>
      <c r="E17" s="156"/>
      <c r="F17" s="617"/>
      <c r="G17" s="617"/>
      <c r="H17" s="617"/>
      <c r="I17" s="617"/>
    </row>
    <row r="18" spans="1:9" s="42" customFormat="1" ht="11.25" customHeight="1">
      <c r="A18" s="131" t="s">
        <v>426</v>
      </c>
      <c r="B18" s="617"/>
      <c r="C18" s="617"/>
      <c r="D18" s="156"/>
      <c r="E18" s="156"/>
      <c r="F18" s="617"/>
      <c r="G18" s="617"/>
      <c r="H18" s="617"/>
      <c r="I18" s="617"/>
    </row>
    <row r="19" spans="1:9" s="42" customFormat="1" ht="11.25" customHeight="1">
      <c r="A19" s="131" t="s">
        <v>427</v>
      </c>
      <c r="B19" s="617"/>
      <c r="C19" s="617"/>
      <c r="D19" s="156"/>
      <c r="E19" s="156"/>
      <c r="F19" s="617"/>
      <c r="G19" s="617"/>
      <c r="H19" s="617"/>
      <c r="I19" s="617"/>
    </row>
    <row r="20" spans="1:9" s="42" customFormat="1" ht="11.25" customHeight="1">
      <c r="A20" s="131" t="s">
        <v>428</v>
      </c>
      <c r="B20" s="617"/>
      <c r="C20" s="617"/>
      <c r="D20" s="156"/>
      <c r="E20" s="156"/>
      <c r="F20" s="617"/>
      <c r="G20" s="617"/>
      <c r="H20" s="617"/>
      <c r="I20" s="617"/>
    </row>
    <row r="21" spans="1:9" s="42" customFormat="1" ht="11.25" customHeight="1">
      <c r="A21" s="44" t="s">
        <v>430</v>
      </c>
      <c r="B21" s="617"/>
      <c r="C21" s="617"/>
      <c r="D21" s="156"/>
      <c r="E21" s="156"/>
      <c r="F21" s="617"/>
      <c r="G21" s="617"/>
      <c r="H21" s="617"/>
      <c r="I21" s="617"/>
    </row>
    <row r="22" spans="1:9" s="42" customFormat="1" ht="11.25" customHeight="1">
      <c r="A22" s="129" t="s">
        <v>425</v>
      </c>
      <c r="B22" s="617"/>
      <c r="C22" s="617"/>
      <c r="D22" s="156"/>
      <c r="E22" s="156"/>
      <c r="F22" s="617"/>
      <c r="G22" s="617"/>
      <c r="H22" s="617"/>
      <c r="I22" s="617"/>
    </row>
    <row r="23" spans="1:9" s="42" customFormat="1" ht="11.25" customHeight="1">
      <c r="A23" s="131" t="s">
        <v>426</v>
      </c>
      <c r="B23" s="617"/>
      <c r="C23" s="617"/>
      <c r="D23" s="156"/>
      <c r="E23" s="156"/>
      <c r="F23" s="617"/>
      <c r="G23" s="617"/>
      <c r="H23" s="617"/>
      <c r="I23" s="617"/>
    </row>
    <row r="24" spans="1:9" s="42" customFormat="1" ht="11.25" customHeight="1">
      <c r="A24" s="131" t="s">
        <v>427</v>
      </c>
      <c r="B24" s="617"/>
      <c r="C24" s="617"/>
      <c r="D24" s="156"/>
      <c r="E24" s="156"/>
      <c r="F24" s="617"/>
      <c r="G24" s="617"/>
      <c r="H24" s="617"/>
      <c r="I24" s="617"/>
    </row>
    <row r="25" spans="1:9" s="42" customFormat="1" ht="11.25" customHeight="1">
      <c r="A25" s="131" t="s">
        <v>428</v>
      </c>
      <c r="B25" s="617"/>
      <c r="C25" s="617"/>
      <c r="D25" s="156"/>
      <c r="E25" s="156"/>
      <c r="F25" s="617"/>
      <c r="G25" s="617"/>
      <c r="H25" s="617"/>
      <c r="I25" s="617"/>
    </row>
    <row r="26" spans="1:9" s="42" customFormat="1" ht="11.25" customHeight="1">
      <c r="A26" s="129" t="s">
        <v>429</v>
      </c>
      <c r="B26" s="617"/>
      <c r="C26" s="617"/>
      <c r="D26" s="156"/>
      <c r="E26" s="156"/>
      <c r="F26" s="617"/>
      <c r="G26" s="617"/>
      <c r="H26" s="617"/>
      <c r="I26" s="617"/>
    </row>
    <row r="27" spans="1:9" s="42" customFormat="1" ht="11.25" customHeight="1">
      <c r="A27" s="131" t="s">
        <v>426</v>
      </c>
      <c r="B27" s="617"/>
      <c r="C27" s="617"/>
      <c r="D27" s="156"/>
      <c r="E27" s="156"/>
      <c r="F27" s="617"/>
      <c r="G27" s="617"/>
      <c r="H27" s="617"/>
      <c r="I27" s="617"/>
    </row>
    <row r="28" spans="1:9" s="42" customFormat="1" ht="11.25" customHeight="1">
      <c r="A28" s="131" t="s">
        <v>427</v>
      </c>
      <c r="B28" s="617"/>
      <c r="C28" s="617"/>
      <c r="D28" s="156"/>
      <c r="E28" s="156"/>
      <c r="F28" s="617"/>
      <c r="G28" s="617"/>
      <c r="H28" s="617"/>
      <c r="I28" s="617"/>
    </row>
    <row r="29" spans="1:9" s="42" customFormat="1" ht="11.25" customHeight="1">
      <c r="A29" s="131" t="s">
        <v>428</v>
      </c>
      <c r="B29" s="617"/>
      <c r="C29" s="617"/>
      <c r="D29" s="156"/>
      <c r="E29" s="156"/>
      <c r="F29" s="617"/>
      <c r="G29" s="617"/>
      <c r="H29" s="617"/>
      <c r="I29" s="617"/>
    </row>
    <row r="30" spans="1:9" s="42" customFormat="1" ht="11.25" customHeight="1">
      <c r="A30" s="129" t="s">
        <v>431</v>
      </c>
      <c r="B30" s="617"/>
      <c r="C30" s="617"/>
      <c r="D30" s="156"/>
      <c r="E30" s="156"/>
      <c r="F30" s="617"/>
      <c r="G30" s="617"/>
      <c r="H30" s="617"/>
      <c r="I30" s="617"/>
    </row>
    <row r="31" spans="1:9" s="42" customFormat="1" ht="11.25" customHeight="1">
      <c r="A31" s="126" t="s">
        <v>246</v>
      </c>
      <c r="B31" s="617"/>
      <c r="C31" s="617"/>
      <c r="D31" s="156"/>
      <c r="E31" s="156"/>
      <c r="F31" s="617"/>
      <c r="G31" s="617"/>
      <c r="H31" s="617"/>
      <c r="I31" s="617"/>
    </row>
    <row r="32" spans="1:9" s="42" customFormat="1" ht="11.25" customHeight="1">
      <c r="A32" s="129" t="s">
        <v>432</v>
      </c>
      <c r="B32" s="617"/>
      <c r="C32" s="617"/>
      <c r="D32" s="156"/>
      <c r="E32" s="156"/>
      <c r="F32" s="617"/>
      <c r="G32" s="617"/>
      <c r="H32" s="617"/>
      <c r="I32" s="617"/>
    </row>
    <row r="33" spans="1:9" s="42" customFormat="1" ht="11.25" customHeight="1">
      <c r="A33" s="129" t="s">
        <v>433</v>
      </c>
      <c r="B33" s="617"/>
      <c r="C33" s="617"/>
      <c r="D33" s="156"/>
      <c r="E33" s="156"/>
      <c r="F33" s="617"/>
      <c r="G33" s="617"/>
      <c r="H33" s="617"/>
      <c r="I33" s="617"/>
    </row>
    <row r="34" spans="1:9" s="42" customFormat="1" ht="11.25" customHeight="1">
      <c r="A34" s="129" t="s">
        <v>434</v>
      </c>
      <c r="B34" s="617"/>
      <c r="C34" s="617"/>
      <c r="D34" s="156"/>
      <c r="E34" s="156"/>
      <c r="F34" s="617"/>
      <c r="G34" s="617"/>
      <c r="H34" s="617"/>
      <c r="I34" s="617"/>
    </row>
    <row r="35" spans="1:9" s="42" customFormat="1" ht="11.25" customHeight="1">
      <c r="A35" s="126" t="s">
        <v>269</v>
      </c>
      <c r="B35" s="617"/>
      <c r="C35" s="617"/>
      <c r="D35" s="156"/>
      <c r="E35" s="156"/>
      <c r="F35" s="617"/>
      <c r="G35" s="617"/>
      <c r="H35" s="617"/>
      <c r="I35" s="617"/>
    </row>
    <row r="36" spans="1:9" s="42" customFormat="1" ht="11.25" customHeight="1">
      <c r="A36" s="126" t="s">
        <v>435</v>
      </c>
      <c r="B36" s="617"/>
      <c r="C36" s="617"/>
      <c r="D36" s="156"/>
      <c r="E36" s="156"/>
      <c r="F36" s="617"/>
      <c r="G36" s="617"/>
      <c r="H36" s="617"/>
      <c r="I36" s="617"/>
    </row>
    <row r="37" spans="1:9" s="42" customFormat="1" ht="11.25" customHeight="1">
      <c r="A37" s="126" t="s">
        <v>325</v>
      </c>
      <c r="B37" s="617"/>
      <c r="C37" s="617"/>
      <c r="D37" s="156"/>
      <c r="E37" s="156"/>
      <c r="F37" s="617"/>
      <c r="G37" s="617"/>
      <c r="H37" s="617"/>
      <c r="I37" s="617"/>
    </row>
    <row r="38" spans="1:9" s="42" customFormat="1" ht="11.25" customHeight="1">
      <c r="A38" s="129" t="s">
        <v>436</v>
      </c>
      <c r="B38" s="617"/>
      <c r="C38" s="617"/>
      <c r="D38" s="156"/>
      <c r="E38" s="156"/>
      <c r="F38" s="617"/>
      <c r="G38" s="617"/>
      <c r="H38" s="617"/>
      <c r="I38" s="617"/>
    </row>
    <row r="39" spans="1:9" s="42" customFormat="1" ht="11.25" customHeight="1">
      <c r="A39" s="129" t="s">
        <v>331</v>
      </c>
      <c r="B39" s="617"/>
      <c r="C39" s="617"/>
      <c r="D39" s="156"/>
      <c r="E39" s="156"/>
      <c r="F39" s="617"/>
      <c r="G39" s="617"/>
      <c r="H39" s="617"/>
      <c r="I39" s="617"/>
    </row>
    <row r="40" spans="1:9" s="43" customFormat="1" ht="11.25" customHeight="1">
      <c r="A40" s="44" t="s">
        <v>437</v>
      </c>
      <c r="B40" s="617"/>
      <c r="C40" s="617"/>
      <c r="D40" s="156"/>
      <c r="E40" s="156"/>
      <c r="F40" s="617"/>
      <c r="G40" s="617"/>
      <c r="H40" s="617"/>
      <c r="I40" s="617"/>
    </row>
    <row r="41" spans="1:9" s="43" customFormat="1" ht="11.25" customHeight="1">
      <c r="A41" s="126" t="s">
        <v>438</v>
      </c>
      <c r="B41" s="617"/>
      <c r="C41" s="617"/>
      <c r="D41" s="156"/>
      <c r="E41" s="156"/>
      <c r="F41" s="617"/>
      <c r="G41" s="617"/>
      <c r="H41" s="617"/>
      <c r="I41" s="617"/>
    </row>
    <row r="42" spans="1:9" s="42" customFormat="1" ht="11.25" customHeight="1">
      <c r="A42" s="126" t="s">
        <v>350</v>
      </c>
      <c r="B42" s="617"/>
      <c r="C42" s="617"/>
      <c r="D42" s="156"/>
      <c r="E42" s="156"/>
      <c r="F42" s="617"/>
      <c r="G42" s="617"/>
      <c r="H42" s="617"/>
      <c r="I42" s="617"/>
    </row>
    <row r="43" spans="1:9" s="42" customFormat="1" ht="11.25" customHeight="1">
      <c r="A43" s="126" t="s">
        <v>361</v>
      </c>
      <c r="B43" s="617"/>
      <c r="C43" s="617"/>
      <c r="D43" s="156"/>
      <c r="E43" s="156"/>
      <c r="F43" s="617"/>
      <c r="G43" s="617"/>
      <c r="H43" s="617"/>
      <c r="I43" s="617"/>
    </row>
    <row r="44" spans="1:9" s="42" customFormat="1" ht="11.25" customHeight="1">
      <c r="A44" s="187" t="s">
        <v>439</v>
      </c>
      <c r="B44" s="188"/>
      <c r="C44" s="187"/>
      <c r="D44" s="189"/>
      <c r="E44" s="190"/>
      <c r="F44" s="191"/>
      <c r="G44" s="190"/>
      <c r="H44" s="189"/>
      <c r="I44" s="189"/>
    </row>
    <row r="45" spans="2:6" s="42" customFormat="1" ht="11.25" customHeight="1">
      <c r="B45" s="132"/>
      <c r="C45" s="132"/>
      <c r="D45" s="132"/>
      <c r="E45" s="132"/>
      <c r="F45" s="130"/>
    </row>
    <row r="46" spans="1:9" s="42" customFormat="1" ht="11.25" customHeight="1">
      <c r="A46" s="192" t="s">
        <v>440</v>
      </c>
      <c r="B46" s="622">
        <f>B10</f>
        <v>2018</v>
      </c>
      <c r="C46" s="641"/>
      <c r="D46" s="641"/>
      <c r="E46" s="623"/>
      <c r="F46" s="622">
        <f>F10</f>
        <v>2017</v>
      </c>
      <c r="G46" s="623"/>
      <c r="H46" s="622">
        <f>H10</f>
        <v>2016</v>
      </c>
      <c r="I46" s="641"/>
    </row>
    <row r="47" spans="1:9" s="42" customFormat="1" ht="11.25" customHeight="1">
      <c r="A47" s="133" t="s">
        <v>441</v>
      </c>
      <c r="B47" s="617"/>
      <c r="C47" s="617"/>
      <c r="D47" s="150"/>
      <c r="E47" s="151"/>
      <c r="F47" s="617"/>
      <c r="G47" s="617"/>
      <c r="H47" s="624"/>
      <c r="I47" s="533"/>
    </row>
    <row r="48" spans="1:9" s="42" customFormat="1" ht="11.25" customHeight="1">
      <c r="A48" s="134" t="s">
        <v>442</v>
      </c>
      <c r="B48" s="617"/>
      <c r="C48" s="617"/>
      <c r="D48" s="152"/>
      <c r="E48" s="153"/>
      <c r="F48" s="617"/>
      <c r="G48" s="617"/>
      <c r="H48" s="624"/>
      <c r="I48" s="533"/>
    </row>
    <row r="49" spans="1:9" s="42" customFormat="1" ht="11.25" customHeight="1">
      <c r="A49" s="134" t="s">
        <v>443</v>
      </c>
      <c r="B49" s="617"/>
      <c r="C49" s="617"/>
      <c r="D49" s="152"/>
      <c r="E49" s="153"/>
      <c r="F49" s="617"/>
      <c r="G49" s="617"/>
      <c r="H49" s="624"/>
      <c r="I49" s="533"/>
    </row>
    <row r="50" spans="1:9" s="42" customFormat="1" ht="11.25" customHeight="1">
      <c r="A50" s="135" t="s">
        <v>444</v>
      </c>
      <c r="B50" s="617"/>
      <c r="C50" s="617"/>
      <c r="D50" s="152"/>
      <c r="E50" s="153"/>
      <c r="F50" s="617"/>
      <c r="G50" s="617"/>
      <c r="H50" s="624"/>
      <c r="I50" s="533"/>
    </row>
    <row r="51" spans="1:9" s="43" customFormat="1" ht="11.25" customHeight="1">
      <c r="A51" s="126" t="s">
        <v>445</v>
      </c>
      <c r="B51" s="617"/>
      <c r="C51" s="617"/>
      <c r="D51" s="152"/>
      <c r="E51" s="153"/>
      <c r="F51" s="617"/>
      <c r="G51" s="617"/>
      <c r="H51" s="624"/>
      <c r="I51" s="533"/>
    </row>
    <row r="52" spans="1:9" s="42" customFormat="1" ht="11.25" customHeight="1">
      <c r="A52" s="136" t="s">
        <v>446</v>
      </c>
      <c r="B52" s="617"/>
      <c r="C52" s="617"/>
      <c r="D52" s="152"/>
      <c r="E52" s="153"/>
      <c r="F52" s="617"/>
      <c r="G52" s="617"/>
      <c r="H52" s="624"/>
      <c r="I52" s="533"/>
    </row>
    <row r="53" spans="1:9" s="42" customFormat="1" ht="11.25" customHeight="1">
      <c r="A53" s="136" t="s">
        <v>447</v>
      </c>
      <c r="B53" s="617"/>
      <c r="C53" s="617"/>
      <c r="D53" s="152"/>
      <c r="E53" s="153"/>
      <c r="F53" s="617"/>
      <c r="G53" s="617"/>
      <c r="H53" s="624"/>
      <c r="I53" s="533"/>
    </row>
    <row r="54" spans="1:9" s="42" customFormat="1" ht="11.25" customHeight="1">
      <c r="A54" s="136" t="s">
        <v>448</v>
      </c>
      <c r="B54" s="617"/>
      <c r="C54" s="617"/>
      <c r="D54" s="152"/>
      <c r="E54" s="153"/>
      <c r="F54" s="617"/>
      <c r="G54" s="617"/>
      <c r="H54" s="624"/>
      <c r="I54" s="533"/>
    </row>
    <row r="55" spans="1:9" s="42" customFormat="1" ht="11.25" customHeight="1">
      <c r="A55" s="126" t="s">
        <v>449</v>
      </c>
      <c r="B55" s="617"/>
      <c r="C55" s="617"/>
      <c r="D55" s="152"/>
      <c r="E55" s="153"/>
      <c r="F55" s="617"/>
      <c r="G55" s="617"/>
      <c r="H55" s="624"/>
      <c r="I55" s="533"/>
    </row>
    <row r="56" spans="1:9" s="42" customFormat="1" ht="11.25" customHeight="1">
      <c r="A56" s="136" t="s">
        <v>450</v>
      </c>
      <c r="B56" s="617"/>
      <c r="C56" s="617"/>
      <c r="D56" s="152"/>
      <c r="E56" s="153"/>
      <c r="F56" s="617"/>
      <c r="G56" s="617"/>
      <c r="H56" s="624"/>
      <c r="I56" s="533"/>
    </row>
    <row r="57" spans="1:9" s="42" customFormat="1" ht="11.25" customHeight="1">
      <c r="A57" s="136" t="s">
        <v>447</v>
      </c>
      <c r="B57" s="617"/>
      <c r="C57" s="617"/>
      <c r="D57" s="152"/>
      <c r="E57" s="153"/>
      <c r="F57" s="617"/>
      <c r="G57" s="617"/>
      <c r="H57" s="624"/>
      <c r="I57" s="533"/>
    </row>
    <row r="58" spans="1:9" s="42" customFormat="1" ht="11.25" customHeight="1">
      <c r="A58" s="136" t="s">
        <v>448</v>
      </c>
      <c r="B58" s="617"/>
      <c r="C58" s="617"/>
      <c r="D58" s="152"/>
      <c r="E58" s="153"/>
      <c r="F58" s="617"/>
      <c r="G58" s="617"/>
      <c r="H58" s="624"/>
      <c r="I58" s="533"/>
    </row>
    <row r="59" spans="1:9" s="42" customFormat="1" ht="11.25" customHeight="1">
      <c r="A59" s="134" t="s">
        <v>451</v>
      </c>
      <c r="B59" s="617"/>
      <c r="C59" s="617"/>
      <c r="D59" s="152"/>
      <c r="E59" s="153"/>
      <c r="F59" s="617"/>
      <c r="G59" s="617"/>
      <c r="H59" s="624"/>
      <c r="I59" s="533"/>
    </row>
    <row r="60" spans="1:9" s="42" customFormat="1" ht="11.25" customHeight="1">
      <c r="A60" s="136" t="s">
        <v>452</v>
      </c>
      <c r="B60" s="617"/>
      <c r="C60" s="617"/>
      <c r="D60" s="152"/>
      <c r="E60" s="153"/>
      <c r="F60" s="617"/>
      <c r="G60" s="617"/>
      <c r="H60" s="624"/>
      <c r="I60" s="533"/>
    </row>
    <row r="61" spans="1:9" s="42" customFormat="1" ht="11.25" customHeight="1">
      <c r="A61" s="136" t="s">
        <v>453</v>
      </c>
      <c r="B61" s="617"/>
      <c r="C61" s="617"/>
      <c r="D61" s="159"/>
      <c r="E61" s="160"/>
      <c r="F61" s="617"/>
      <c r="G61" s="617"/>
      <c r="H61" s="624"/>
      <c r="I61" s="533"/>
    </row>
    <row r="62" spans="1:9" s="42" customFormat="1" ht="11.25" customHeight="1">
      <c r="A62" s="193" t="s">
        <v>454</v>
      </c>
      <c r="B62" s="624"/>
      <c r="C62" s="625"/>
      <c r="D62" s="625"/>
      <c r="E62" s="626"/>
      <c r="F62" s="194"/>
      <c r="G62" s="195"/>
      <c r="H62" s="196"/>
      <c r="I62" s="138"/>
    </row>
    <row r="63" spans="1:9" s="42" customFormat="1" ht="11.25" customHeight="1">
      <c r="A63" s="137"/>
      <c r="B63" s="138"/>
      <c r="C63" s="138"/>
      <c r="D63" s="139"/>
      <c r="E63" s="139"/>
      <c r="F63" s="139"/>
      <c r="G63" s="85"/>
      <c r="H63" s="85"/>
      <c r="I63" s="85"/>
    </row>
    <row r="64" spans="1:9" s="42" customFormat="1" ht="11.25" customHeight="1">
      <c r="A64" s="197" t="s">
        <v>178</v>
      </c>
      <c r="B64" s="636"/>
      <c r="C64" s="637"/>
      <c r="D64" s="637"/>
      <c r="E64" s="638"/>
      <c r="F64" s="551"/>
      <c r="G64" s="553"/>
      <c r="H64" s="551"/>
      <c r="I64" s="552"/>
    </row>
    <row r="65" spans="1:9" s="42" customFormat="1" ht="11.25" customHeight="1">
      <c r="A65" s="140"/>
      <c r="B65" s="141"/>
      <c r="C65" s="141"/>
      <c r="D65" s="141"/>
      <c r="E65" s="141"/>
      <c r="F65" s="142"/>
      <c r="G65" s="142"/>
      <c r="H65" s="142"/>
      <c r="I65" s="142"/>
    </row>
    <row r="66" spans="1:9" s="42" customFormat="1" ht="11.25" customHeight="1">
      <c r="A66" s="198" t="s">
        <v>455</v>
      </c>
      <c r="B66" s="622"/>
      <c r="C66" s="641"/>
      <c r="D66" s="641"/>
      <c r="E66" s="623"/>
      <c r="F66" s="622"/>
      <c r="G66" s="623"/>
      <c r="H66" s="622"/>
      <c r="I66" s="641"/>
    </row>
    <row r="67" spans="1:9" s="42" customFormat="1" ht="11.25" customHeight="1">
      <c r="A67" s="199" t="s">
        <v>456</v>
      </c>
      <c r="B67" s="654"/>
      <c r="C67" s="655"/>
      <c r="D67" s="655"/>
      <c r="E67" s="655"/>
      <c r="F67" s="655"/>
      <c r="G67" s="655"/>
      <c r="H67" s="655"/>
      <c r="I67" s="655"/>
    </row>
    <row r="68" spans="1:9" s="42" customFormat="1" ht="11.25" customHeight="1">
      <c r="A68" s="140"/>
      <c r="B68" s="141"/>
      <c r="C68" s="141"/>
      <c r="D68" s="142"/>
      <c r="E68" s="142"/>
      <c r="F68" s="143"/>
      <c r="G68" s="143"/>
      <c r="H68" s="143"/>
      <c r="I68" s="143"/>
    </row>
    <row r="69" spans="1:9" s="42" customFormat="1" ht="11.25" customHeight="1">
      <c r="A69" s="198" t="s">
        <v>179</v>
      </c>
      <c r="B69" s="656">
        <f>B46</f>
        <v>2018</v>
      </c>
      <c r="C69" s="657"/>
      <c r="D69" s="657"/>
      <c r="E69" s="658"/>
      <c r="F69" s="656">
        <f>F46</f>
        <v>2017</v>
      </c>
      <c r="G69" s="658"/>
      <c r="H69" s="656">
        <f>H46</f>
        <v>2016</v>
      </c>
      <c r="I69" s="657"/>
    </row>
    <row r="70" spans="1:9" s="42" customFormat="1" ht="11.25" customHeight="1">
      <c r="A70" s="199" t="s">
        <v>456</v>
      </c>
      <c r="B70" s="652"/>
      <c r="C70" s="653"/>
      <c r="D70" s="200"/>
      <c r="E70" s="200"/>
      <c r="F70" s="652"/>
      <c r="G70" s="653"/>
      <c r="H70" s="652"/>
      <c r="I70" s="653"/>
    </row>
    <row r="71" spans="1:6" s="42" customFormat="1" ht="11.25" customHeight="1">
      <c r="A71" s="85"/>
      <c r="B71" s="144"/>
      <c r="C71" s="145"/>
      <c r="D71" s="145"/>
      <c r="E71" s="145"/>
      <c r="F71" s="145"/>
    </row>
    <row r="72" spans="1:9" s="42" customFormat="1" ht="11.25" customHeight="1">
      <c r="A72" s="198" t="s">
        <v>457</v>
      </c>
      <c r="B72" s="619">
        <f>B69</f>
        <v>2018</v>
      </c>
      <c r="C72" s="620"/>
      <c r="D72" s="620"/>
      <c r="E72" s="621"/>
      <c r="F72" s="619">
        <f>F69</f>
        <v>2017</v>
      </c>
      <c r="G72" s="621"/>
      <c r="H72" s="619">
        <f>H69</f>
        <v>2016</v>
      </c>
      <c r="I72" s="620"/>
    </row>
    <row r="73" spans="1:9" s="42" customFormat="1" ht="11.25" customHeight="1">
      <c r="A73" s="201" t="s">
        <v>458</v>
      </c>
      <c r="B73" s="643"/>
      <c r="C73" s="643"/>
      <c r="D73" s="203"/>
      <c r="E73" s="85"/>
      <c r="F73" s="643"/>
      <c r="G73" s="643"/>
      <c r="H73" s="643"/>
      <c r="I73" s="643"/>
    </row>
    <row r="74" spans="1:9" s="42" customFormat="1" ht="11.25" customHeight="1">
      <c r="A74" s="204" t="s">
        <v>459</v>
      </c>
      <c r="B74" s="643"/>
      <c r="C74" s="643"/>
      <c r="D74" s="203"/>
      <c r="E74" s="85"/>
      <c r="F74" s="643"/>
      <c r="G74" s="643"/>
      <c r="H74" s="643"/>
      <c r="I74" s="643"/>
    </row>
    <row r="75" spans="1:9" s="42" customFormat="1" ht="11.25" customHeight="1">
      <c r="A75" s="85" t="s">
        <v>460</v>
      </c>
      <c r="B75" s="643"/>
      <c r="C75" s="643"/>
      <c r="D75" s="203"/>
      <c r="E75" s="85"/>
      <c r="F75" s="643"/>
      <c r="G75" s="643"/>
      <c r="H75" s="643"/>
      <c r="I75" s="643"/>
    </row>
    <row r="76" spans="1:9" s="42" customFormat="1" ht="11.25" customHeight="1">
      <c r="A76" s="205" t="s">
        <v>461</v>
      </c>
      <c r="B76" s="643"/>
      <c r="C76" s="643"/>
      <c r="D76" s="206"/>
      <c r="E76" s="146"/>
      <c r="F76" s="643"/>
      <c r="G76" s="643"/>
      <c r="H76" s="643"/>
      <c r="I76" s="643"/>
    </row>
    <row r="77" spans="1:7" s="42" customFormat="1" ht="11.25" customHeight="1">
      <c r="A77" s="207"/>
      <c r="B77" s="207"/>
      <c r="C77" s="207"/>
      <c r="D77" s="207"/>
      <c r="E77" s="207"/>
      <c r="F77" s="207"/>
      <c r="G77" s="85"/>
    </row>
    <row r="78" spans="1:9" s="42" customFormat="1" ht="11.25" customHeight="1">
      <c r="A78" s="208" t="s">
        <v>180</v>
      </c>
      <c r="B78" s="622">
        <f>B72</f>
        <v>2018</v>
      </c>
      <c r="C78" s="641"/>
      <c r="D78" s="641"/>
      <c r="E78" s="623"/>
      <c r="F78" s="622">
        <f>F72</f>
        <v>2017</v>
      </c>
      <c r="G78" s="623"/>
      <c r="H78" s="622">
        <f>H72</f>
        <v>2016</v>
      </c>
      <c r="I78" s="641"/>
    </row>
    <row r="79" spans="1:9" s="42" customFormat="1" ht="11.25" customHeight="1">
      <c r="A79" s="209" t="s">
        <v>462</v>
      </c>
      <c r="B79" s="643"/>
      <c r="C79" s="643"/>
      <c r="D79" s="209"/>
      <c r="E79" s="209"/>
      <c r="F79" s="643"/>
      <c r="G79" s="643"/>
      <c r="H79" s="643"/>
      <c r="I79" s="643"/>
    </row>
    <row r="80" spans="1:9" s="42" customFormat="1" ht="11.25" customHeight="1">
      <c r="A80" s="210" t="s">
        <v>463</v>
      </c>
      <c r="B80" s="643"/>
      <c r="C80" s="643"/>
      <c r="D80" s="210"/>
      <c r="E80" s="210"/>
      <c r="F80" s="643"/>
      <c r="G80" s="643"/>
      <c r="H80" s="643"/>
      <c r="I80" s="643"/>
    </row>
    <row r="81" spans="1:9" s="42" customFormat="1" ht="11.25" customHeight="1">
      <c r="A81" s="211" t="s">
        <v>464</v>
      </c>
      <c r="B81" s="643"/>
      <c r="C81" s="643"/>
      <c r="D81" s="212"/>
      <c r="E81" s="212"/>
      <c r="F81" s="643"/>
      <c r="G81" s="643"/>
      <c r="H81" s="643"/>
      <c r="I81" s="643"/>
    </row>
    <row r="82" spans="1:9" s="42" customFormat="1" ht="11.25" customHeight="1" thickBot="1">
      <c r="A82" s="147"/>
      <c r="B82" s="148"/>
      <c r="C82" s="148"/>
      <c r="D82" s="125"/>
      <c r="E82" s="125"/>
      <c r="F82" s="125"/>
      <c r="G82" s="85"/>
      <c r="H82" s="85"/>
      <c r="I82" s="85"/>
    </row>
    <row r="83" spans="1:9" s="42" customFormat="1" ht="11.25" customHeight="1">
      <c r="A83" s="645" t="s">
        <v>465</v>
      </c>
      <c r="B83" s="646"/>
      <c r="C83" s="646"/>
      <c r="D83" s="646"/>
      <c r="E83" s="646"/>
      <c r="F83" s="646"/>
      <c r="G83" s="646"/>
      <c r="H83" s="646"/>
      <c r="I83" s="646"/>
    </row>
    <row r="84" spans="1:9" s="42" customFormat="1" ht="11.25" customHeight="1">
      <c r="A84" s="213" t="s">
        <v>422</v>
      </c>
      <c r="B84" s="619">
        <f>B78</f>
        <v>2018</v>
      </c>
      <c r="C84" s="620"/>
      <c r="D84" s="620"/>
      <c r="E84" s="621"/>
      <c r="F84" s="622">
        <f>F78</f>
        <v>2017</v>
      </c>
      <c r="G84" s="623"/>
      <c r="H84" s="622">
        <f>H78</f>
        <v>2016</v>
      </c>
      <c r="I84" s="641"/>
    </row>
    <row r="85" spans="1:9" s="42" customFormat="1" ht="11.25" customHeight="1">
      <c r="A85" s="125" t="s">
        <v>466</v>
      </c>
      <c r="B85" s="642"/>
      <c r="C85" s="618"/>
      <c r="D85" s="125"/>
      <c r="E85" s="53"/>
      <c r="F85" s="642"/>
      <c r="G85" s="618"/>
      <c r="H85" s="642"/>
      <c r="I85" s="618"/>
    </row>
    <row r="86" spans="1:9" s="42" customFormat="1" ht="11.25" customHeight="1">
      <c r="A86" s="126" t="s">
        <v>467</v>
      </c>
      <c r="B86" s="642"/>
      <c r="C86" s="618"/>
      <c r="D86" s="127"/>
      <c r="E86" s="128"/>
      <c r="F86" s="642"/>
      <c r="G86" s="618"/>
      <c r="H86" s="642"/>
      <c r="I86" s="618"/>
    </row>
    <row r="87" spans="1:9" s="42" customFormat="1" ht="11.25" customHeight="1">
      <c r="A87" s="129" t="s">
        <v>425</v>
      </c>
      <c r="B87" s="642"/>
      <c r="C87" s="618"/>
      <c r="D87" s="127"/>
      <c r="E87" s="128"/>
      <c r="F87" s="642"/>
      <c r="G87" s="618"/>
      <c r="H87" s="642"/>
      <c r="I87" s="618"/>
    </row>
    <row r="88" spans="1:9" s="42" customFormat="1" ht="11.25" customHeight="1">
      <c r="A88" s="131" t="s">
        <v>426</v>
      </c>
      <c r="B88" s="642"/>
      <c r="C88" s="618"/>
      <c r="D88" s="127"/>
      <c r="E88" s="128"/>
      <c r="F88" s="642"/>
      <c r="G88" s="618"/>
      <c r="H88" s="642"/>
      <c r="I88" s="618"/>
    </row>
    <row r="89" spans="1:9" s="42" customFormat="1" ht="11.25" customHeight="1">
      <c r="A89" s="131" t="s">
        <v>427</v>
      </c>
      <c r="B89" s="642"/>
      <c r="C89" s="618"/>
      <c r="D89" s="127"/>
      <c r="E89" s="128"/>
      <c r="F89" s="642"/>
      <c r="G89" s="618"/>
      <c r="H89" s="642"/>
      <c r="I89" s="618"/>
    </row>
    <row r="90" spans="1:9" s="42" customFormat="1" ht="11.25" customHeight="1">
      <c r="A90" s="131" t="s">
        <v>428</v>
      </c>
      <c r="B90" s="642"/>
      <c r="C90" s="618"/>
      <c r="D90" s="127"/>
      <c r="E90" s="128"/>
      <c r="F90" s="642"/>
      <c r="G90" s="618"/>
      <c r="H90" s="642"/>
      <c r="I90" s="618"/>
    </row>
    <row r="91" spans="1:9" s="42" customFormat="1" ht="11.25" customHeight="1">
      <c r="A91" s="129" t="s">
        <v>429</v>
      </c>
      <c r="B91" s="642"/>
      <c r="C91" s="618"/>
      <c r="D91" s="127"/>
      <c r="E91" s="128"/>
      <c r="F91" s="642"/>
      <c r="G91" s="618"/>
      <c r="H91" s="642"/>
      <c r="I91" s="618"/>
    </row>
    <row r="92" spans="1:9" s="42" customFormat="1" ht="11.25" customHeight="1">
      <c r="A92" s="131" t="s">
        <v>426</v>
      </c>
      <c r="B92" s="642"/>
      <c r="C92" s="618"/>
      <c r="D92" s="127"/>
      <c r="E92" s="128"/>
      <c r="F92" s="642"/>
      <c r="G92" s="618"/>
      <c r="H92" s="642"/>
      <c r="I92" s="618"/>
    </row>
    <row r="93" spans="1:9" s="42" customFormat="1" ht="11.25" customHeight="1">
      <c r="A93" s="131" t="s">
        <v>427</v>
      </c>
      <c r="B93" s="642"/>
      <c r="C93" s="618"/>
      <c r="D93" s="127"/>
      <c r="E93" s="128"/>
      <c r="F93" s="642"/>
      <c r="G93" s="618"/>
      <c r="H93" s="642"/>
      <c r="I93" s="618"/>
    </row>
    <row r="94" spans="1:9" s="42" customFormat="1" ht="11.25" customHeight="1">
      <c r="A94" s="131" t="s">
        <v>428</v>
      </c>
      <c r="B94" s="642"/>
      <c r="C94" s="618"/>
      <c r="D94" s="127"/>
      <c r="E94" s="128"/>
      <c r="F94" s="642"/>
      <c r="G94" s="618"/>
      <c r="H94" s="642"/>
      <c r="I94" s="618"/>
    </row>
    <row r="95" spans="1:9" s="42" customFormat="1" ht="11.25" customHeight="1">
      <c r="A95" s="126" t="s">
        <v>468</v>
      </c>
      <c r="B95" s="642"/>
      <c r="C95" s="618"/>
      <c r="D95" s="127"/>
      <c r="E95" s="128"/>
      <c r="F95" s="642"/>
      <c r="G95" s="618"/>
      <c r="H95" s="642"/>
      <c r="I95" s="618"/>
    </row>
    <row r="96" spans="1:9" s="42" customFormat="1" ht="11.25" customHeight="1">
      <c r="A96" s="129" t="s">
        <v>425</v>
      </c>
      <c r="B96" s="642"/>
      <c r="C96" s="618"/>
      <c r="D96" s="127"/>
      <c r="E96" s="128"/>
      <c r="F96" s="642"/>
      <c r="G96" s="618"/>
      <c r="H96" s="642"/>
      <c r="I96" s="618"/>
    </row>
    <row r="97" spans="1:9" s="42" customFormat="1" ht="11.25" customHeight="1">
      <c r="A97" s="131" t="s">
        <v>426</v>
      </c>
      <c r="B97" s="642"/>
      <c r="C97" s="618"/>
      <c r="D97" s="127"/>
      <c r="E97" s="128"/>
      <c r="F97" s="642"/>
      <c r="G97" s="618"/>
      <c r="H97" s="642"/>
      <c r="I97" s="618"/>
    </row>
    <row r="98" spans="1:9" s="42" customFormat="1" ht="11.25" customHeight="1">
      <c r="A98" s="131" t="s">
        <v>427</v>
      </c>
      <c r="B98" s="642"/>
      <c r="C98" s="618"/>
      <c r="D98" s="127"/>
      <c r="E98" s="128"/>
      <c r="F98" s="642"/>
      <c r="G98" s="618"/>
      <c r="H98" s="642"/>
      <c r="I98" s="618"/>
    </row>
    <row r="99" spans="1:9" s="42" customFormat="1" ht="11.25" customHeight="1">
      <c r="A99" s="131" t="s">
        <v>428</v>
      </c>
      <c r="B99" s="642"/>
      <c r="C99" s="618"/>
      <c r="D99" s="127"/>
      <c r="E99" s="128"/>
      <c r="F99" s="642"/>
      <c r="G99" s="618"/>
      <c r="H99" s="642"/>
      <c r="I99" s="618"/>
    </row>
    <row r="100" spans="1:9" s="42" customFormat="1" ht="11.25" customHeight="1">
      <c r="A100" s="129" t="s">
        <v>429</v>
      </c>
      <c r="B100" s="642"/>
      <c r="C100" s="618"/>
      <c r="D100" s="127"/>
      <c r="E100" s="128"/>
      <c r="F100" s="642"/>
      <c r="G100" s="618"/>
      <c r="H100" s="642"/>
      <c r="I100" s="618"/>
    </row>
    <row r="101" spans="1:9" s="42" customFormat="1" ht="11.25" customHeight="1">
      <c r="A101" s="131" t="s">
        <v>426</v>
      </c>
      <c r="B101" s="642"/>
      <c r="C101" s="618"/>
      <c r="D101" s="127"/>
      <c r="E101" s="128"/>
      <c r="F101" s="642"/>
      <c r="G101" s="618"/>
      <c r="H101" s="642"/>
      <c r="I101" s="618"/>
    </row>
    <row r="102" spans="1:9" s="42" customFormat="1" ht="11.25" customHeight="1">
      <c r="A102" s="131" t="s">
        <v>427</v>
      </c>
      <c r="B102" s="642"/>
      <c r="C102" s="618"/>
      <c r="D102" s="127"/>
      <c r="E102" s="128"/>
      <c r="F102" s="642"/>
      <c r="G102" s="618"/>
      <c r="H102" s="642"/>
      <c r="I102" s="618"/>
    </row>
    <row r="103" spans="1:9" s="42" customFormat="1" ht="11.25" customHeight="1">
      <c r="A103" s="131" t="s">
        <v>428</v>
      </c>
      <c r="B103" s="642"/>
      <c r="C103" s="618"/>
      <c r="D103" s="127"/>
      <c r="E103" s="128"/>
      <c r="F103" s="642"/>
      <c r="G103" s="618"/>
      <c r="H103" s="642"/>
      <c r="I103" s="618"/>
    </row>
    <row r="104" spans="1:9" s="42" customFormat="1" ht="11.25" customHeight="1">
      <c r="A104" s="129" t="s">
        <v>481</v>
      </c>
      <c r="B104" s="642"/>
      <c r="C104" s="618"/>
      <c r="D104" s="127"/>
      <c r="E104" s="128"/>
      <c r="F104" s="642"/>
      <c r="G104" s="618"/>
      <c r="H104" s="642"/>
      <c r="I104" s="618"/>
    </row>
    <row r="105" spans="1:9" s="42" customFormat="1" ht="11.25" customHeight="1">
      <c r="A105" s="126" t="s">
        <v>246</v>
      </c>
      <c r="B105" s="642"/>
      <c r="C105" s="618"/>
      <c r="D105" s="127"/>
      <c r="E105" s="128"/>
      <c r="F105" s="642"/>
      <c r="G105" s="618"/>
      <c r="H105" s="642"/>
      <c r="I105" s="618"/>
    </row>
    <row r="106" spans="1:9" s="42" customFormat="1" ht="11.25" customHeight="1">
      <c r="A106" s="129" t="s">
        <v>432</v>
      </c>
      <c r="B106" s="642"/>
      <c r="C106" s="618"/>
      <c r="D106" s="127"/>
      <c r="E106" s="128"/>
      <c r="F106" s="642"/>
      <c r="G106" s="618"/>
      <c r="H106" s="642"/>
      <c r="I106" s="618"/>
    </row>
    <row r="107" spans="1:9" s="42" customFormat="1" ht="11.25" customHeight="1">
      <c r="A107" s="129" t="s">
        <v>433</v>
      </c>
      <c r="B107" s="642"/>
      <c r="C107" s="618"/>
      <c r="D107" s="127"/>
      <c r="E107" s="128"/>
      <c r="F107" s="642"/>
      <c r="G107" s="618"/>
      <c r="H107" s="642"/>
      <c r="I107" s="618"/>
    </row>
    <row r="108" spans="1:9" s="42" customFormat="1" ht="11.25" customHeight="1">
      <c r="A108" s="129" t="s">
        <v>434</v>
      </c>
      <c r="B108" s="642"/>
      <c r="C108" s="618"/>
      <c r="D108" s="127"/>
      <c r="E108" s="128"/>
      <c r="F108" s="642"/>
      <c r="G108" s="618"/>
      <c r="H108" s="642"/>
      <c r="I108" s="618"/>
    </row>
    <row r="109" spans="1:9" s="42" customFormat="1" ht="11.25" customHeight="1">
      <c r="A109" s="126" t="s">
        <v>269</v>
      </c>
      <c r="B109" s="642"/>
      <c r="C109" s="618"/>
      <c r="D109" s="127"/>
      <c r="E109" s="128"/>
      <c r="F109" s="642"/>
      <c r="G109" s="618"/>
      <c r="H109" s="642"/>
      <c r="I109" s="618"/>
    </row>
    <row r="110" spans="1:9" s="42" customFormat="1" ht="11.25" customHeight="1">
      <c r="A110" s="126" t="s">
        <v>325</v>
      </c>
      <c r="B110" s="642"/>
      <c r="C110" s="618"/>
      <c r="D110" s="127"/>
      <c r="E110" s="128"/>
      <c r="F110" s="642"/>
      <c r="G110" s="618"/>
      <c r="H110" s="642"/>
      <c r="I110" s="618"/>
    </row>
    <row r="111" spans="1:9" s="42" customFormat="1" ht="11.25" customHeight="1">
      <c r="A111" s="129" t="s">
        <v>436</v>
      </c>
      <c r="B111" s="642"/>
      <c r="C111" s="618"/>
      <c r="D111" s="127"/>
      <c r="E111" s="128"/>
      <c r="F111" s="642"/>
      <c r="G111" s="618"/>
      <c r="H111" s="642"/>
      <c r="I111" s="618"/>
    </row>
    <row r="112" spans="1:9" s="42" customFormat="1" ht="11.25" customHeight="1">
      <c r="A112" s="129" t="s">
        <v>331</v>
      </c>
      <c r="B112" s="642"/>
      <c r="C112" s="618"/>
      <c r="D112" s="127"/>
      <c r="E112" s="128"/>
      <c r="F112" s="642"/>
      <c r="G112" s="618"/>
      <c r="H112" s="642"/>
      <c r="I112" s="618"/>
    </row>
    <row r="113" spans="1:9" s="42" customFormat="1" ht="11.25" customHeight="1">
      <c r="A113" s="44" t="s">
        <v>469</v>
      </c>
      <c r="B113" s="642"/>
      <c r="C113" s="618"/>
      <c r="D113" s="127"/>
      <c r="E113" s="128"/>
      <c r="F113" s="642"/>
      <c r="G113" s="618"/>
      <c r="H113" s="642"/>
      <c r="I113" s="618"/>
    </row>
    <row r="114" spans="1:9" s="42" customFormat="1" ht="11.25" customHeight="1">
      <c r="A114" s="126" t="s">
        <v>438</v>
      </c>
      <c r="B114" s="642"/>
      <c r="C114" s="618"/>
      <c r="D114" s="127"/>
      <c r="E114" s="128"/>
      <c r="F114" s="642"/>
      <c r="G114" s="618"/>
      <c r="H114" s="642"/>
      <c r="I114" s="618"/>
    </row>
    <row r="115" spans="1:9" s="42" customFormat="1" ht="11.25" customHeight="1">
      <c r="A115" s="126" t="s">
        <v>350</v>
      </c>
      <c r="B115" s="642"/>
      <c r="C115" s="618"/>
      <c r="D115" s="127"/>
      <c r="E115" s="128"/>
      <c r="F115" s="642"/>
      <c r="G115" s="618"/>
      <c r="H115" s="642"/>
      <c r="I115" s="618"/>
    </row>
    <row r="116" spans="1:9" s="42" customFormat="1" ht="11.25" customHeight="1">
      <c r="A116" s="126" t="s">
        <v>361</v>
      </c>
      <c r="B116" s="642"/>
      <c r="C116" s="618"/>
      <c r="D116" s="127"/>
      <c r="E116" s="128"/>
      <c r="F116" s="642"/>
      <c r="G116" s="618"/>
      <c r="H116" s="642"/>
      <c r="I116" s="618"/>
    </row>
    <row r="117" spans="1:9" s="42" customFormat="1" ht="11.25" customHeight="1">
      <c r="A117" s="214" t="s">
        <v>470</v>
      </c>
      <c r="B117" s="215"/>
      <c r="C117" s="214"/>
      <c r="D117" s="216"/>
      <c r="E117" s="217"/>
      <c r="F117" s="218"/>
      <c r="G117" s="217"/>
      <c r="H117" s="216"/>
      <c r="I117" s="216"/>
    </row>
    <row r="118" spans="2:6" s="42" customFormat="1" ht="11.25" customHeight="1">
      <c r="B118" s="132"/>
      <c r="C118" s="132"/>
      <c r="D118" s="132"/>
      <c r="E118" s="132"/>
      <c r="F118" s="130"/>
    </row>
    <row r="119" spans="1:9" s="42" customFormat="1" ht="11.25" customHeight="1">
      <c r="A119" s="192" t="s">
        <v>440</v>
      </c>
      <c r="B119" s="622">
        <f>B84</f>
        <v>2018</v>
      </c>
      <c r="C119" s="641"/>
      <c r="D119" s="641"/>
      <c r="E119" s="219"/>
      <c r="F119" s="622">
        <f>F84</f>
        <v>2017</v>
      </c>
      <c r="G119" s="623"/>
      <c r="H119" s="622">
        <f>H84</f>
        <v>2016</v>
      </c>
      <c r="I119" s="641"/>
    </row>
    <row r="120" spans="1:9" s="42" customFormat="1" ht="11.25" customHeight="1">
      <c r="A120" s="133" t="s">
        <v>471</v>
      </c>
      <c r="B120" s="642"/>
      <c r="C120" s="618"/>
      <c r="D120" s="161"/>
      <c r="E120" s="161"/>
      <c r="F120" s="642"/>
      <c r="G120" s="618"/>
      <c r="H120" s="642"/>
      <c r="I120" s="618"/>
    </row>
    <row r="121" spans="1:9" s="42" customFormat="1" ht="11.25" customHeight="1">
      <c r="A121" s="134" t="s">
        <v>442</v>
      </c>
      <c r="B121" s="642"/>
      <c r="C121" s="618"/>
      <c r="D121" s="161"/>
      <c r="E121" s="161"/>
      <c r="F121" s="642"/>
      <c r="G121" s="618"/>
      <c r="H121" s="642"/>
      <c r="I121" s="618"/>
    </row>
    <row r="122" spans="1:9" s="42" customFormat="1" ht="11.25" customHeight="1">
      <c r="A122" s="134" t="s">
        <v>443</v>
      </c>
      <c r="B122" s="642"/>
      <c r="C122" s="618"/>
      <c r="D122" s="161"/>
      <c r="E122" s="161"/>
      <c r="F122" s="642"/>
      <c r="G122" s="618"/>
      <c r="H122" s="642"/>
      <c r="I122" s="618"/>
    </row>
    <row r="123" spans="1:9" s="42" customFormat="1" ht="11.25" customHeight="1">
      <c r="A123" s="135" t="s">
        <v>472</v>
      </c>
      <c r="B123" s="642"/>
      <c r="C123" s="618"/>
      <c r="D123" s="161"/>
      <c r="E123" s="161"/>
      <c r="F123" s="642"/>
      <c r="G123" s="618"/>
      <c r="H123" s="642"/>
      <c r="I123" s="618"/>
    </row>
    <row r="124" spans="1:9" s="42" customFormat="1" ht="11.25" customHeight="1">
      <c r="A124" s="126" t="s">
        <v>445</v>
      </c>
      <c r="B124" s="642"/>
      <c r="C124" s="618"/>
      <c r="D124" s="161"/>
      <c r="E124" s="161"/>
      <c r="F124" s="642"/>
      <c r="G124" s="618"/>
      <c r="H124" s="642"/>
      <c r="I124" s="618"/>
    </row>
    <row r="125" spans="1:9" s="42" customFormat="1" ht="11.25" customHeight="1">
      <c r="A125" s="136" t="s">
        <v>473</v>
      </c>
      <c r="B125" s="642"/>
      <c r="C125" s="618"/>
      <c r="D125" s="161"/>
      <c r="E125" s="161"/>
      <c r="F125" s="642"/>
      <c r="G125" s="618"/>
      <c r="H125" s="642"/>
      <c r="I125" s="618"/>
    </row>
    <row r="126" spans="1:9" s="42" customFormat="1" ht="11.25" customHeight="1">
      <c r="A126" s="136" t="s">
        <v>447</v>
      </c>
      <c r="B126" s="642"/>
      <c r="C126" s="618"/>
      <c r="D126" s="161"/>
      <c r="E126" s="161"/>
      <c r="F126" s="642"/>
      <c r="G126" s="618"/>
      <c r="H126" s="642"/>
      <c r="I126" s="618"/>
    </row>
    <row r="127" spans="1:9" s="42" customFormat="1" ht="11.25" customHeight="1">
      <c r="A127" s="136" t="s">
        <v>448</v>
      </c>
      <c r="B127" s="642"/>
      <c r="C127" s="618"/>
      <c r="D127" s="161"/>
      <c r="E127" s="161"/>
      <c r="F127" s="642"/>
      <c r="G127" s="618"/>
      <c r="H127" s="642"/>
      <c r="I127" s="618"/>
    </row>
    <row r="128" spans="1:9" s="42" customFormat="1" ht="11.25" customHeight="1">
      <c r="A128" s="126" t="s">
        <v>449</v>
      </c>
      <c r="B128" s="642"/>
      <c r="C128" s="618"/>
      <c r="D128" s="161"/>
      <c r="E128" s="161"/>
      <c r="F128" s="642"/>
      <c r="G128" s="618"/>
      <c r="H128" s="642"/>
      <c r="I128" s="618"/>
    </row>
    <row r="129" spans="1:9" s="42" customFormat="1" ht="11.25" customHeight="1">
      <c r="A129" s="136" t="s">
        <v>450</v>
      </c>
      <c r="B129" s="642"/>
      <c r="C129" s="618"/>
      <c r="D129" s="161"/>
      <c r="E129" s="161"/>
      <c r="F129" s="642"/>
      <c r="G129" s="618"/>
      <c r="H129" s="642"/>
      <c r="I129" s="618"/>
    </row>
    <row r="130" spans="1:9" s="42" customFormat="1" ht="11.25" customHeight="1">
      <c r="A130" s="136" t="s">
        <v>447</v>
      </c>
      <c r="B130" s="642"/>
      <c r="C130" s="618"/>
      <c r="D130" s="161"/>
      <c r="E130" s="161"/>
      <c r="F130" s="642"/>
      <c r="G130" s="618"/>
      <c r="H130" s="642"/>
      <c r="I130" s="618"/>
    </row>
    <row r="131" spans="1:9" s="42" customFormat="1" ht="11.25" customHeight="1">
      <c r="A131" s="136" t="s">
        <v>448</v>
      </c>
      <c r="B131" s="642"/>
      <c r="C131" s="618"/>
      <c r="D131" s="161"/>
      <c r="E131" s="161"/>
      <c r="F131" s="642"/>
      <c r="G131" s="618"/>
      <c r="H131" s="642"/>
      <c r="I131" s="618"/>
    </row>
    <row r="132" spans="1:9" s="42" customFormat="1" ht="11.25" customHeight="1">
      <c r="A132" s="134" t="s">
        <v>451</v>
      </c>
      <c r="B132" s="642"/>
      <c r="C132" s="618"/>
      <c r="D132" s="161"/>
      <c r="E132" s="161"/>
      <c r="F132" s="642"/>
      <c r="G132" s="618"/>
      <c r="H132" s="642"/>
      <c r="I132" s="618"/>
    </row>
    <row r="133" spans="1:9" s="42" customFormat="1" ht="11.25" customHeight="1">
      <c r="A133" s="136" t="s">
        <v>452</v>
      </c>
      <c r="B133" s="642"/>
      <c r="C133" s="618"/>
      <c r="D133" s="161"/>
      <c r="E133" s="161"/>
      <c r="F133" s="642"/>
      <c r="G133" s="618"/>
      <c r="H133" s="642"/>
      <c r="I133" s="618"/>
    </row>
    <row r="134" spans="1:9" s="42" customFormat="1" ht="11.25" customHeight="1">
      <c r="A134" s="136" t="s">
        <v>453</v>
      </c>
      <c r="B134" s="642"/>
      <c r="C134" s="618"/>
      <c r="D134" s="161"/>
      <c r="E134" s="161"/>
      <c r="F134" s="642"/>
      <c r="G134" s="618"/>
      <c r="H134" s="642"/>
      <c r="I134" s="618"/>
    </row>
    <row r="135" spans="1:9" s="42" customFormat="1" ht="11.25" customHeight="1">
      <c r="A135" s="193" t="s">
        <v>474</v>
      </c>
      <c r="B135" s="624"/>
      <c r="C135" s="625"/>
      <c r="D135" s="625"/>
      <c r="E135" s="626"/>
      <c r="F135" s="531"/>
      <c r="G135" s="533"/>
      <c r="H135" s="639"/>
      <c r="I135" s="640"/>
    </row>
    <row r="136" spans="1:9" s="42" customFormat="1" ht="11.25" customHeight="1">
      <c r="A136" s="137"/>
      <c r="B136" s="138"/>
      <c r="C136" s="138"/>
      <c r="D136" s="139"/>
      <c r="E136" s="139"/>
      <c r="F136" s="139"/>
      <c r="G136" s="85"/>
      <c r="H136" s="85"/>
      <c r="I136" s="85"/>
    </row>
    <row r="137" spans="1:9" s="42" customFormat="1" ht="11.25" customHeight="1">
      <c r="A137" s="197" t="s">
        <v>475</v>
      </c>
      <c r="B137" s="636"/>
      <c r="C137" s="637"/>
      <c r="D137" s="637"/>
      <c r="E137" s="638"/>
      <c r="F137" s="551"/>
      <c r="G137" s="553"/>
      <c r="H137" s="551"/>
      <c r="I137" s="552"/>
    </row>
    <row r="138" spans="1:6" s="42" customFormat="1" ht="11.25" customHeight="1">
      <c r="A138" s="85"/>
      <c r="B138" s="144"/>
      <c r="C138" s="145"/>
      <c r="D138" s="145"/>
      <c r="E138" s="145"/>
      <c r="F138" s="145"/>
    </row>
    <row r="139" spans="1:9" s="42" customFormat="1" ht="11.25" customHeight="1">
      <c r="A139" s="198" t="s">
        <v>476</v>
      </c>
      <c r="B139" s="619">
        <f>B119</f>
        <v>2018</v>
      </c>
      <c r="C139" s="620"/>
      <c r="D139" s="620"/>
      <c r="E139" s="621"/>
      <c r="F139" s="619">
        <f>F119</f>
        <v>2017</v>
      </c>
      <c r="G139" s="621"/>
      <c r="H139" s="619">
        <f>H119</f>
        <v>2016</v>
      </c>
      <c r="I139" s="620"/>
    </row>
    <row r="140" spans="1:9" s="42" customFormat="1" ht="11.25" customHeight="1">
      <c r="A140" s="201" t="s">
        <v>477</v>
      </c>
      <c r="B140" s="642"/>
      <c r="C140" s="618"/>
      <c r="D140" s="203"/>
      <c r="E140" s="85"/>
      <c r="F140" s="642"/>
      <c r="G140" s="618"/>
      <c r="H140" s="642"/>
      <c r="I140" s="618"/>
    </row>
    <row r="141" spans="1:9" s="42" customFormat="1" ht="11.25" customHeight="1">
      <c r="A141" s="220" t="s">
        <v>478</v>
      </c>
      <c r="B141" s="642"/>
      <c r="C141" s="618"/>
      <c r="D141" s="206"/>
      <c r="E141" s="146"/>
      <c r="F141" s="642"/>
      <c r="G141" s="618"/>
      <c r="H141" s="642"/>
      <c r="I141" s="618"/>
    </row>
    <row r="142" spans="1:9" s="42" customFormat="1" ht="11.25" customHeight="1" thickBot="1">
      <c r="A142" s="221"/>
      <c r="B142" s="222"/>
      <c r="C142" s="222"/>
      <c r="D142" s="223"/>
      <c r="E142" s="149"/>
      <c r="F142" s="223"/>
      <c r="G142" s="149"/>
      <c r="H142" s="223"/>
      <c r="I142" s="149"/>
    </row>
    <row r="143" spans="1:9" s="42" customFormat="1" ht="11.25" customHeight="1" thickBot="1">
      <c r="A143" s="633" t="s">
        <v>479</v>
      </c>
      <c r="B143" s="633"/>
      <c r="C143" s="633"/>
      <c r="D143" s="633"/>
      <c r="E143" s="633"/>
      <c r="F143" s="633"/>
      <c r="G143" s="633"/>
      <c r="H143" s="633"/>
      <c r="I143" s="633"/>
    </row>
    <row r="144" spans="1:9" s="42" customFormat="1" ht="11.25" customHeight="1">
      <c r="A144" s="634"/>
      <c r="B144" s="635"/>
      <c r="C144" s="635"/>
      <c r="D144" s="635"/>
      <c r="E144" s="635"/>
      <c r="F144" s="635"/>
      <c r="G144" s="635"/>
      <c r="H144" s="635"/>
      <c r="I144" s="635"/>
    </row>
    <row r="145" spans="1:9" s="42" customFormat="1" ht="11.25" customHeight="1">
      <c r="A145" s="224" t="s">
        <v>102</v>
      </c>
      <c r="B145" s="225" t="s">
        <v>482</v>
      </c>
      <c r="C145" s="622" t="s">
        <v>483</v>
      </c>
      <c r="D145" s="620"/>
      <c r="E145" s="621"/>
      <c r="F145" s="622" t="s">
        <v>484</v>
      </c>
      <c r="G145" s="623"/>
      <c r="H145" s="622" t="s">
        <v>485</v>
      </c>
      <c r="I145" s="641"/>
    </row>
    <row r="146" spans="1:9" s="42" customFormat="1" ht="11.25" customHeight="1">
      <c r="A146" s="649"/>
      <c r="B146" s="154"/>
      <c r="C146" s="154"/>
      <c r="D146" s="154"/>
      <c r="E146" s="155"/>
      <c r="F146" s="589"/>
      <c r="G146" s="618"/>
      <c r="H146" s="589"/>
      <c r="I146" s="618"/>
    </row>
    <row r="147" spans="1:9" s="42" customFormat="1" ht="11.25" customHeight="1">
      <c r="A147" s="650"/>
      <c r="B147" s="156"/>
      <c r="C147" s="156"/>
      <c r="D147" s="156"/>
      <c r="E147" s="156"/>
      <c r="F147" s="589"/>
      <c r="G147" s="618"/>
      <c r="H147" s="589"/>
      <c r="I147" s="618"/>
    </row>
    <row r="148" spans="1:9" s="42" customFormat="1" ht="11.25" customHeight="1">
      <c r="A148" s="650"/>
      <c r="B148" s="157"/>
      <c r="C148" s="157"/>
      <c r="D148" s="156"/>
      <c r="E148" s="156"/>
      <c r="F148" s="589"/>
      <c r="G148" s="618"/>
      <c r="H148" s="589"/>
      <c r="I148" s="618"/>
    </row>
    <row r="149" spans="1:9" s="42" customFormat="1" ht="11.25" customHeight="1">
      <c r="A149" s="650"/>
      <c r="B149" s="157"/>
      <c r="C149" s="157"/>
      <c r="D149" s="156"/>
      <c r="E149" s="156"/>
      <c r="F149" s="589"/>
      <c r="G149" s="618"/>
      <c r="H149" s="589"/>
      <c r="I149" s="618"/>
    </row>
    <row r="150" spans="1:9" s="42" customFormat="1" ht="11.25" customHeight="1">
      <c r="A150" s="650"/>
      <c r="B150" s="157"/>
      <c r="C150" s="157"/>
      <c r="D150" s="156"/>
      <c r="E150" s="156"/>
      <c r="F150" s="589"/>
      <c r="G150" s="618"/>
      <c r="H150" s="589"/>
      <c r="I150" s="618"/>
    </row>
    <row r="151" spans="1:9" s="42" customFormat="1" ht="11.25" customHeight="1">
      <c r="A151" s="650"/>
      <c r="B151" s="157"/>
      <c r="C151" s="157"/>
      <c r="D151" s="156"/>
      <c r="E151" s="156"/>
      <c r="F151" s="589"/>
      <c r="G151" s="618"/>
      <c r="H151" s="589"/>
      <c r="I151" s="618"/>
    </row>
    <row r="152" spans="1:9" s="42" customFormat="1" ht="11.25" customHeight="1">
      <c r="A152" s="650"/>
      <c r="B152" s="157"/>
      <c r="C152" s="157"/>
      <c r="D152" s="156"/>
      <c r="E152" s="156"/>
      <c r="F152" s="589"/>
      <c r="G152" s="618"/>
      <c r="H152" s="589"/>
      <c r="I152" s="618"/>
    </row>
    <row r="153" spans="1:9" s="42" customFormat="1" ht="11.25" customHeight="1">
      <c r="A153" s="651"/>
      <c r="B153" s="202"/>
      <c r="C153" s="202"/>
      <c r="D153" s="226"/>
      <c r="E153" s="158"/>
      <c r="F153" s="589"/>
      <c r="G153" s="618"/>
      <c r="H153" s="589"/>
      <c r="I153" s="618"/>
    </row>
    <row r="154" spans="1:9" ht="11.25" customHeight="1">
      <c r="A154" s="648" t="s">
        <v>480</v>
      </c>
      <c r="B154" s="648"/>
      <c r="C154" s="648"/>
      <c r="D154" s="648"/>
      <c r="E154" s="648"/>
      <c r="F154" s="648"/>
      <c r="G154" s="648"/>
      <c r="H154" s="648"/>
      <c r="I154" s="648"/>
    </row>
    <row r="155" spans="8:9" ht="11.25" customHeight="1">
      <c r="H155" s="304"/>
      <c r="I155" s="304"/>
    </row>
    <row r="156" spans="8:9" ht="11.25" customHeight="1">
      <c r="H156" s="304"/>
      <c r="I156" s="304"/>
    </row>
    <row r="188" spans="8:9" ht="11.25" customHeight="1">
      <c r="H188" s="304"/>
      <c r="I188" s="304"/>
    </row>
    <row r="189" spans="8:9" ht="11.25" customHeight="1">
      <c r="H189" s="304"/>
      <c r="I189" s="304"/>
    </row>
    <row r="199" spans="8:9" ht="11.25" customHeight="1">
      <c r="H199" s="304"/>
      <c r="I199" s="304"/>
    </row>
  </sheetData>
  <sheetProtection/>
  <mergeCells count="387">
    <mergeCell ref="H140:I140"/>
    <mergeCell ref="H141:I141"/>
    <mergeCell ref="H132:I132"/>
    <mergeCell ref="H133:I133"/>
    <mergeCell ref="H134:I134"/>
    <mergeCell ref="H137:I137"/>
    <mergeCell ref="H128:I128"/>
    <mergeCell ref="F132:G132"/>
    <mergeCell ref="H124:I124"/>
    <mergeCell ref="H125:I125"/>
    <mergeCell ref="H126:I126"/>
    <mergeCell ref="H127:I127"/>
    <mergeCell ref="H129:I129"/>
    <mergeCell ref="F131:G131"/>
    <mergeCell ref="F125:G125"/>
    <mergeCell ref="F126:G126"/>
    <mergeCell ref="B132:C132"/>
    <mergeCell ref="B133:C133"/>
    <mergeCell ref="B134:C134"/>
    <mergeCell ref="F120:G120"/>
    <mergeCell ref="F121:G121"/>
    <mergeCell ref="F122:G122"/>
    <mergeCell ref="F123:G123"/>
    <mergeCell ref="F124:G124"/>
    <mergeCell ref="F133:G133"/>
    <mergeCell ref="F134:G134"/>
    <mergeCell ref="F119:G119"/>
    <mergeCell ref="H119:I119"/>
    <mergeCell ref="B130:C130"/>
    <mergeCell ref="B131:C131"/>
    <mergeCell ref="F127:G127"/>
    <mergeCell ref="F128:G128"/>
    <mergeCell ref="F129:G129"/>
    <mergeCell ref="F130:G130"/>
    <mergeCell ref="H130:I130"/>
    <mergeCell ref="H131:I131"/>
    <mergeCell ref="B116:C116"/>
    <mergeCell ref="B119:D119"/>
    <mergeCell ref="B129:C129"/>
    <mergeCell ref="B125:C125"/>
    <mergeCell ref="B126:C126"/>
    <mergeCell ref="B127:C127"/>
    <mergeCell ref="B128:C128"/>
    <mergeCell ref="B120:C120"/>
    <mergeCell ref="B121:C121"/>
    <mergeCell ref="B122:C122"/>
    <mergeCell ref="H121:I121"/>
    <mergeCell ref="H122:I122"/>
    <mergeCell ref="H123:I123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20:I12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97:I97"/>
    <mergeCell ref="H98:I98"/>
    <mergeCell ref="H99:I99"/>
    <mergeCell ref="H100:I100"/>
    <mergeCell ref="H93:I93"/>
    <mergeCell ref="H94:I94"/>
    <mergeCell ref="H95:I95"/>
    <mergeCell ref="H96:I96"/>
    <mergeCell ref="H89:I89"/>
    <mergeCell ref="H90:I90"/>
    <mergeCell ref="H91:I91"/>
    <mergeCell ref="H92:I92"/>
    <mergeCell ref="H85:I85"/>
    <mergeCell ref="H86:I86"/>
    <mergeCell ref="H87:I87"/>
    <mergeCell ref="H88:I88"/>
    <mergeCell ref="F114:G114"/>
    <mergeCell ref="F115:G115"/>
    <mergeCell ref="F116:G116"/>
    <mergeCell ref="F109:G109"/>
    <mergeCell ref="F110:G110"/>
    <mergeCell ref="F111:G111"/>
    <mergeCell ref="F112:G112"/>
    <mergeCell ref="F113:G113"/>
    <mergeCell ref="F98:G98"/>
    <mergeCell ref="F89:G89"/>
    <mergeCell ref="F90:G90"/>
    <mergeCell ref="F94:G94"/>
    <mergeCell ref="F95:G95"/>
    <mergeCell ref="F91:G91"/>
    <mergeCell ref="F92:G92"/>
    <mergeCell ref="F93:G93"/>
    <mergeCell ref="F85:G85"/>
    <mergeCell ref="F86:G86"/>
    <mergeCell ref="F87:G87"/>
    <mergeCell ref="F88:G88"/>
    <mergeCell ref="F96:G96"/>
    <mergeCell ref="F97:G97"/>
    <mergeCell ref="F105:G105"/>
    <mergeCell ref="F106:G106"/>
    <mergeCell ref="B100:C100"/>
    <mergeCell ref="F108:G108"/>
    <mergeCell ref="B102:C102"/>
    <mergeCell ref="F104:G104"/>
    <mergeCell ref="F107:G107"/>
    <mergeCell ref="B109:C109"/>
    <mergeCell ref="B113:C113"/>
    <mergeCell ref="B103:C103"/>
    <mergeCell ref="F99:G99"/>
    <mergeCell ref="F102:G102"/>
    <mergeCell ref="F103:G103"/>
    <mergeCell ref="B99:C99"/>
    <mergeCell ref="B111:C111"/>
    <mergeCell ref="F100:G100"/>
    <mergeCell ref="F101:G101"/>
    <mergeCell ref="B93:C93"/>
    <mergeCell ref="B114:C114"/>
    <mergeCell ref="B101:C101"/>
    <mergeCell ref="B110:C110"/>
    <mergeCell ref="B112:C112"/>
    <mergeCell ref="B105:C105"/>
    <mergeCell ref="B106:C106"/>
    <mergeCell ref="B107:C107"/>
    <mergeCell ref="B108:C108"/>
    <mergeCell ref="B98:C98"/>
    <mergeCell ref="B87:C87"/>
    <mergeCell ref="B88:C88"/>
    <mergeCell ref="B89:C89"/>
    <mergeCell ref="B90:C90"/>
    <mergeCell ref="B91:C91"/>
    <mergeCell ref="B92:C92"/>
    <mergeCell ref="H76:I76"/>
    <mergeCell ref="B79:C79"/>
    <mergeCell ref="B75:C75"/>
    <mergeCell ref="B74:C74"/>
    <mergeCell ref="F73:G73"/>
    <mergeCell ref="F74:G74"/>
    <mergeCell ref="H79:I79"/>
    <mergeCell ref="H74:I74"/>
    <mergeCell ref="H75:I75"/>
    <mergeCell ref="F75:G75"/>
    <mergeCell ref="F61:G61"/>
    <mergeCell ref="B61:C61"/>
    <mergeCell ref="F69:G69"/>
    <mergeCell ref="F72:G72"/>
    <mergeCell ref="H72:I72"/>
    <mergeCell ref="B73:C73"/>
    <mergeCell ref="H73:I73"/>
    <mergeCell ref="H69:I69"/>
    <mergeCell ref="H64:I64"/>
    <mergeCell ref="F66:G66"/>
    <mergeCell ref="H48:I48"/>
    <mergeCell ref="H49:I49"/>
    <mergeCell ref="H50:I50"/>
    <mergeCell ref="H59:I59"/>
    <mergeCell ref="B70:C70"/>
    <mergeCell ref="F70:G70"/>
    <mergeCell ref="H70:I70"/>
    <mergeCell ref="B67:I67"/>
    <mergeCell ref="B69:E69"/>
    <mergeCell ref="H61:I61"/>
    <mergeCell ref="H58:I58"/>
    <mergeCell ref="B60:C60"/>
    <mergeCell ref="B59:C59"/>
    <mergeCell ref="B57:C57"/>
    <mergeCell ref="B58:C58"/>
    <mergeCell ref="H52:I52"/>
    <mergeCell ref="H53:I53"/>
    <mergeCell ref="H54:I54"/>
    <mergeCell ref="B55:C55"/>
    <mergeCell ref="B56:C56"/>
    <mergeCell ref="F49:G49"/>
    <mergeCell ref="H55:I55"/>
    <mergeCell ref="F55:G55"/>
    <mergeCell ref="F59:G59"/>
    <mergeCell ref="F60:G60"/>
    <mergeCell ref="H60:I60"/>
    <mergeCell ref="F56:G56"/>
    <mergeCell ref="F57:G57"/>
    <mergeCell ref="H56:I56"/>
    <mergeCell ref="H57:I57"/>
    <mergeCell ref="H51:I51"/>
    <mergeCell ref="H41:I41"/>
    <mergeCell ref="H42:I42"/>
    <mergeCell ref="H43:I43"/>
    <mergeCell ref="B47:C47"/>
    <mergeCell ref="B43:C43"/>
    <mergeCell ref="B48:C48"/>
    <mergeCell ref="B49:C49"/>
    <mergeCell ref="B46:E46"/>
    <mergeCell ref="F48:G48"/>
    <mergeCell ref="H40:I40"/>
    <mergeCell ref="F47:G47"/>
    <mergeCell ref="F40:G40"/>
    <mergeCell ref="F41:G41"/>
    <mergeCell ref="F42:G42"/>
    <mergeCell ref="F43:G43"/>
    <mergeCell ref="H46:I46"/>
    <mergeCell ref="H47:I47"/>
    <mergeCell ref="F58:G58"/>
    <mergeCell ref="F54:G54"/>
    <mergeCell ref="H35:I35"/>
    <mergeCell ref="H36:I36"/>
    <mergeCell ref="H37:I37"/>
    <mergeCell ref="H38:I38"/>
    <mergeCell ref="F53:G53"/>
    <mergeCell ref="H39:I39"/>
    <mergeCell ref="F39:G39"/>
    <mergeCell ref="F37:G37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F32:G32"/>
    <mergeCell ref="F33:G33"/>
    <mergeCell ref="F34:G34"/>
    <mergeCell ref="F35:G35"/>
    <mergeCell ref="F36:G36"/>
    <mergeCell ref="F11:G11"/>
    <mergeCell ref="F12:G12"/>
    <mergeCell ref="F13:G13"/>
    <mergeCell ref="F14:G14"/>
    <mergeCell ref="F21:G21"/>
    <mergeCell ref="F38:G38"/>
    <mergeCell ref="F28:G28"/>
    <mergeCell ref="F29:G29"/>
    <mergeCell ref="F30:G30"/>
    <mergeCell ref="F16:G16"/>
    <mergeCell ref="F17:G17"/>
    <mergeCell ref="F18:G18"/>
    <mergeCell ref="F19:G19"/>
    <mergeCell ref="F24:G24"/>
    <mergeCell ref="F25:G25"/>
    <mergeCell ref="F22:G22"/>
    <mergeCell ref="F23:G23"/>
    <mergeCell ref="F26:G26"/>
    <mergeCell ref="F27:G27"/>
    <mergeCell ref="F15:G15"/>
    <mergeCell ref="A154:I154"/>
    <mergeCell ref="A146:A153"/>
    <mergeCell ref="F146:G146"/>
    <mergeCell ref="F147:G147"/>
    <mergeCell ref="F148:G148"/>
    <mergeCell ref="F149:G149"/>
    <mergeCell ref="F152:G152"/>
    <mergeCell ref="F153:G153"/>
    <mergeCell ref="F150:G150"/>
    <mergeCell ref="H152:I152"/>
    <mergeCell ref="B139:E139"/>
    <mergeCell ref="F139:G139"/>
    <mergeCell ref="H139:I139"/>
    <mergeCell ref="F151:G151"/>
    <mergeCell ref="C145:E145"/>
    <mergeCell ref="B94:C94"/>
    <mergeCell ref="B95:C95"/>
    <mergeCell ref="B115:C115"/>
    <mergeCell ref="B104:C104"/>
    <mergeCell ref="F79:G79"/>
    <mergeCell ref="B81:C81"/>
    <mergeCell ref="F84:G84"/>
    <mergeCell ref="B97:C97"/>
    <mergeCell ref="B85:C85"/>
    <mergeCell ref="B86:C86"/>
    <mergeCell ref="B76:C76"/>
    <mergeCell ref="B78:E78"/>
    <mergeCell ref="F78:G78"/>
    <mergeCell ref="B84:E84"/>
    <mergeCell ref="B123:C123"/>
    <mergeCell ref="B124:C124"/>
    <mergeCell ref="A83:I83"/>
    <mergeCell ref="F80:G80"/>
    <mergeCell ref="F81:G81"/>
    <mergeCell ref="B80:C80"/>
    <mergeCell ref="H84:I84"/>
    <mergeCell ref="H80:I80"/>
    <mergeCell ref="H81:I81"/>
    <mergeCell ref="B96:C96"/>
    <mergeCell ref="B52:C52"/>
    <mergeCell ref="F50:G50"/>
    <mergeCell ref="F51:G51"/>
    <mergeCell ref="F52:G52"/>
    <mergeCell ref="H78:I78"/>
    <mergeCell ref="B66:E66"/>
    <mergeCell ref="H66:I66"/>
    <mergeCell ref="F76:G76"/>
    <mergeCell ref="B54:C54"/>
    <mergeCell ref="H7:I7"/>
    <mergeCell ref="A8:I8"/>
    <mergeCell ref="A9:I9"/>
    <mergeCell ref="B10:E10"/>
    <mergeCell ref="F10:G10"/>
    <mergeCell ref="H10:I10"/>
    <mergeCell ref="A7:G7"/>
    <mergeCell ref="B135:E135"/>
    <mergeCell ref="F135:G135"/>
    <mergeCell ref="H135:I135"/>
    <mergeCell ref="H145:I145"/>
    <mergeCell ref="B137:E137"/>
    <mergeCell ref="F137:G137"/>
    <mergeCell ref="B140:C140"/>
    <mergeCell ref="B141:C141"/>
    <mergeCell ref="F141:G141"/>
    <mergeCell ref="F140:G140"/>
    <mergeCell ref="B64:E64"/>
    <mergeCell ref="F64:G64"/>
    <mergeCell ref="F46:G46"/>
    <mergeCell ref="B53:C53"/>
    <mergeCell ref="B39:C39"/>
    <mergeCell ref="B40:C40"/>
    <mergeCell ref="B41:C41"/>
    <mergeCell ref="B42:C42"/>
    <mergeCell ref="B50:C50"/>
    <mergeCell ref="B51:C51"/>
    <mergeCell ref="B20:C20"/>
    <mergeCell ref="B21:C21"/>
    <mergeCell ref="B14:C14"/>
    <mergeCell ref="B15:C15"/>
    <mergeCell ref="A143:I143"/>
    <mergeCell ref="A144:I144"/>
    <mergeCell ref="F31:G31"/>
    <mergeCell ref="F20:G20"/>
    <mergeCell ref="B34:C34"/>
    <mergeCell ref="B23:C23"/>
    <mergeCell ref="F145:G145"/>
    <mergeCell ref="B62:E62"/>
    <mergeCell ref="B36:C36"/>
    <mergeCell ref="B22:C22"/>
    <mergeCell ref="A1:G1"/>
    <mergeCell ref="A2:G2"/>
    <mergeCell ref="A3:G3"/>
    <mergeCell ref="A4:G4"/>
    <mergeCell ref="A6:G6"/>
    <mergeCell ref="A5:G5"/>
    <mergeCell ref="H150:I150"/>
    <mergeCell ref="H151:I151"/>
    <mergeCell ref="B11:C11"/>
    <mergeCell ref="B12:C12"/>
    <mergeCell ref="B13:C13"/>
    <mergeCell ref="B72:E72"/>
    <mergeCell ref="B18:C18"/>
    <mergeCell ref="B19:C19"/>
    <mergeCell ref="B16:C16"/>
    <mergeCell ref="B17:C17"/>
    <mergeCell ref="B24:C24"/>
    <mergeCell ref="B25:C25"/>
    <mergeCell ref="B26:C26"/>
    <mergeCell ref="H153:I153"/>
    <mergeCell ref="H146:I146"/>
    <mergeCell ref="H147:I147"/>
    <mergeCell ref="H148:I148"/>
    <mergeCell ref="H149:I149"/>
    <mergeCell ref="B35:C35"/>
    <mergeCell ref="B27:C27"/>
    <mergeCell ref="B37:C37"/>
    <mergeCell ref="B38:C38"/>
    <mergeCell ref="B28:C28"/>
    <mergeCell ref="B29:C29"/>
    <mergeCell ref="B30:C30"/>
    <mergeCell ref="B31:C31"/>
    <mergeCell ref="B32:C32"/>
    <mergeCell ref="B33:C33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zoomScale="90" zoomScaleNormal="90" zoomScalePageLayoutView="0" workbookViewId="0" topLeftCell="A1">
      <selection activeCell="K37" sqref="K37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7" ht="12.75">
      <c r="A1" s="679" t="str">
        <f>Parâmetros!A7</f>
        <v>Município de Barra do Quaraí</v>
      </c>
      <c r="B1" s="664"/>
      <c r="C1" s="664"/>
      <c r="D1" s="664"/>
      <c r="E1" s="664"/>
      <c r="F1" s="665"/>
      <c r="G1" s="110"/>
    </row>
    <row r="2" spans="1:7" ht="12.75">
      <c r="A2" s="680" t="s">
        <v>36</v>
      </c>
      <c r="B2" s="662"/>
      <c r="C2" s="662"/>
      <c r="D2" s="662"/>
      <c r="E2" s="662"/>
      <c r="F2" s="663"/>
      <c r="G2" s="11"/>
    </row>
    <row r="3" spans="1:7" ht="12.75">
      <c r="A3" s="661" t="str">
        <f>'Metas Cons'!A3:M3</f>
        <v>ANEXO DE METAS FISCAIS</v>
      </c>
      <c r="B3" s="664"/>
      <c r="C3" s="664"/>
      <c r="D3" s="664"/>
      <c r="E3" s="664"/>
      <c r="F3" s="665"/>
      <c r="G3" s="110"/>
    </row>
    <row r="4" spans="1:7" ht="12.75">
      <c r="A4" s="681" t="s">
        <v>505</v>
      </c>
      <c r="B4" s="682"/>
      <c r="C4" s="682"/>
      <c r="D4" s="682"/>
      <c r="E4" s="682"/>
      <c r="F4" s="683"/>
      <c r="G4" s="110"/>
    </row>
    <row r="5" spans="1:7" ht="12.75">
      <c r="A5" s="661" t="s">
        <v>614</v>
      </c>
      <c r="B5" s="662"/>
      <c r="C5" s="662"/>
      <c r="D5" s="662"/>
      <c r="E5" s="662"/>
      <c r="F5" s="663"/>
      <c r="G5" s="11"/>
    </row>
    <row r="6" spans="1:7" ht="12.75">
      <c r="A6" s="661"/>
      <c r="B6" s="664"/>
      <c r="C6" s="664"/>
      <c r="D6" s="664"/>
      <c r="E6" s="664"/>
      <c r="F6" s="665"/>
      <c r="G6" s="110"/>
    </row>
    <row r="7" spans="1:7" s="42" customFormat="1" ht="11.25" customHeight="1">
      <c r="A7" s="318" t="s">
        <v>508</v>
      </c>
      <c r="B7" s="305"/>
      <c r="C7" s="305"/>
      <c r="D7" s="305"/>
      <c r="E7" s="305"/>
      <c r="F7" s="306"/>
      <c r="G7" s="307">
        <v>1</v>
      </c>
    </row>
    <row r="8" spans="1:7" s="43" customFormat="1" ht="11.25" customHeight="1">
      <c r="A8" s="666" t="s">
        <v>157</v>
      </c>
      <c r="B8" s="669" t="s">
        <v>158</v>
      </c>
      <c r="C8" s="672" t="s">
        <v>159</v>
      </c>
      <c r="D8" s="669" t="s">
        <v>103</v>
      </c>
      <c r="E8" s="675"/>
      <c r="F8" s="666"/>
      <c r="G8" s="672" t="s">
        <v>104</v>
      </c>
    </row>
    <row r="9" spans="1:7" s="43" customFormat="1" ht="11.25" customHeight="1">
      <c r="A9" s="667"/>
      <c r="B9" s="670"/>
      <c r="C9" s="673"/>
      <c r="D9" s="671"/>
      <c r="E9" s="676"/>
      <c r="F9" s="668"/>
      <c r="G9" s="673"/>
    </row>
    <row r="10" spans="1:7" s="42" customFormat="1" ht="24" customHeight="1">
      <c r="A10" s="668"/>
      <c r="B10" s="671"/>
      <c r="C10" s="674"/>
      <c r="D10" s="308">
        <f>Parâmetros!E10</f>
        <v>2019</v>
      </c>
      <c r="E10" s="308">
        <f>D10+1</f>
        <v>2020</v>
      </c>
      <c r="F10" s="308">
        <f>E10+1</f>
        <v>2021</v>
      </c>
      <c r="G10" s="674"/>
    </row>
    <row r="11" spans="1:7" s="42" customFormat="1" ht="26.25" customHeight="1">
      <c r="A11" s="309"/>
      <c r="B11" s="309"/>
      <c r="C11" s="309"/>
      <c r="D11" s="310">
        <v>0</v>
      </c>
      <c r="E11" s="311">
        <f>D11*(1+B24)</f>
        <v>0</v>
      </c>
      <c r="F11" s="311">
        <f>E11*(1+B25)</f>
        <v>0</v>
      </c>
      <c r="G11" s="677" t="s">
        <v>161</v>
      </c>
    </row>
    <row r="12" spans="1:7" s="42" customFormat="1" ht="42" customHeight="1">
      <c r="A12" s="309"/>
      <c r="B12" s="309"/>
      <c r="C12" s="309"/>
      <c r="D12" s="310">
        <v>0</v>
      </c>
      <c r="E12" s="311">
        <f>D12*(1+B24)</f>
        <v>0</v>
      </c>
      <c r="F12" s="311">
        <f>E12*(1+B25)</f>
        <v>0</v>
      </c>
      <c r="G12" s="678"/>
    </row>
    <row r="13" spans="1:7" s="42" customFormat="1" ht="45.75" customHeight="1">
      <c r="A13" s="309"/>
      <c r="B13" s="309"/>
      <c r="C13" s="309"/>
      <c r="D13" s="310">
        <v>0</v>
      </c>
      <c r="E13" s="311">
        <f>D13*(1+B24)</f>
        <v>0</v>
      </c>
      <c r="F13" s="311">
        <f>E13*(1+B25)</f>
        <v>0</v>
      </c>
      <c r="G13" s="312" t="s">
        <v>162</v>
      </c>
    </row>
    <row r="14" spans="1:7" s="42" customFormat="1" ht="11.25" customHeight="1">
      <c r="A14" s="309"/>
      <c r="B14" s="309"/>
      <c r="C14" s="309"/>
      <c r="D14" s="310"/>
      <c r="E14" s="311">
        <f>D14*(1+B24)</f>
        <v>0</v>
      </c>
      <c r="F14" s="311">
        <f>E14*(1+B25)</f>
        <v>0</v>
      </c>
      <c r="G14" s="312"/>
    </row>
    <row r="15" spans="1:7" s="42" customFormat="1" ht="11.25" customHeight="1">
      <c r="A15" s="309"/>
      <c r="B15" s="309"/>
      <c r="C15" s="309"/>
      <c r="D15" s="310"/>
      <c r="E15" s="311">
        <f>D15*(1+B24)</f>
        <v>0</v>
      </c>
      <c r="F15" s="311">
        <f>E15*(1+B25)</f>
        <v>0</v>
      </c>
      <c r="G15" s="312"/>
    </row>
    <row r="16" spans="1:7" s="42" customFormat="1" ht="11.25" customHeight="1">
      <c r="A16" s="309"/>
      <c r="B16" s="309"/>
      <c r="C16" s="309"/>
      <c r="D16" s="310"/>
      <c r="E16" s="311">
        <f>D16*(1+B24)</f>
        <v>0</v>
      </c>
      <c r="F16" s="311">
        <f>E16*(1+B25)</f>
        <v>0</v>
      </c>
      <c r="G16" s="312"/>
    </row>
    <row r="17" spans="1:7" s="42" customFormat="1" ht="11.25" customHeight="1">
      <c r="A17" s="313"/>
      <c r="B17" s="313"/>
      <c r="C17" s="313"/>
      <c r="D17" s="314"/>
      <c r="E17" s="311">
        <f>D17*(1+B24)</f>
        <v>0</v>
      </c>
      <c r="F17" s="311">
        <f>E17*(1+B25)</f>
        <v>0</v>
      </c>
      <c r="G17" s="315"/>
    </row>
    <row r="18" spans="1:7" s="42" customFormat="1" ht="11.25" customHeight="1">
      <c r="A18" s="659" t="s">
        <v>89</v>
      </c>
      <c r="B18" s="659"/>
      <c r="C18" s="660"/>
      <c r="D18" s="316">
        <f>SUM(D11:D17)</f>
        <v>0</v>
      </c>
      <c r="E18" s="316">
        <f>SUM(E11:E17)</f>
        <v>0</v>
      </c>
      <c r="F18" s="316">
        <f>SUM(F11:F17)</f>
        <v>0</v>
      </c>
      <c r="G18" s="317" t="s">
        <v>160</v>
      </c>
    </row>
    <row r="19" spans="1:7" s="42" customFormat="1" ht="11.25" customHeight="1">
      <c r="A19" s="84" t="s">
        <v>218</v>
      </c>
      <c r="B19" s="46"/>
      <c r="C19" s="46"/>
      <c r="D19" s="46"/>
      <c r="E19" s="46"/>
      <c r="F19" s="46"/>
      <c r="G19" s="46"/>
    </row>
    <row r="20" spans="1:6" ht="12.75">
      <c r="A20" s="11" t="s">
        <v>630</v>
      </c>
      <c r="B20" s="45"/>
      <c r="C20" s="45"/>
      <c r="D20" s="45"/>
      <c r="E20" s="45"/>
      <c r="F20" s="45"/>
    </row>
    <row r="21" ht="12.75">
      <c r="A21" t="s">
        <v>142</v>
      </c>
    </row>
    <row r="22" ht="12.75">
      <c r="A22" s="11" t="s">
        <v>631</v>
      </c>
    </row>
    <row r="23" ht="12.75">
      <c r="A23" t="s">
        <v>145</v>
      </c>
    </row>
    <row r="24" spans="1:2" ht="12.75">
      <c r="A24" s="11" t="s">
        <v>418</v>
      </c>
      <c r="B24" s="39">
        <f>Parâmetros!F11</f>
        <v>0.0225</v>
      </c>
    </row>
    <row r="25" spans="1:2" ht="12.75">
      <c r="A25" s="11" t="s">
        <v>632</v>
      </c>
      <c r="B25" s="39">
        <f>Parâmetros!G11</f>
        <v>0.025</v>
      </c>
    </row>
    <row r="26" ht="12.75">
      <c r="B26" s="39"/>
    </row>
  </sheetData>
  <sheetProtection/>
  <mergeCells count="13">
    <mergeCell ref="G8:G10"/>
    <mergeCell ref="G11:G12"/>
    <mergeCell ref="A1:F1"/>
    <mergeCell ref="A2:F2"/>
    <mergeCell ref="A3:F3"/>
    <mergeCell ref="A4:F4"/>
    <mergeCell ref="A18:C18"/>
    <mergeCell ref="A5:F5"/>
    <mergeCell ref="A6:F6"/>
    <mergeCell ref="A8:A10"/>
    <mergeCell ref="B8:B10"/>
    <mergeCell ref="C8:C10"/>
    <mergeCell ref="D8:F9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31"/>
  <sheetViews>
    <sheetView zoomScale="90" zoomScaleNormal="90" zoomScalePageLayoutView="0" workbookViewId="0" topLeftCell="A10">
      <selection activeCell="B46" sqref="B46"/>
    </sheetView>
  </sheetViews>
  <sheetFormatPr defaultColWidth="9.140625" defaultRowHeight="12.75"/>
  <cols>
    <col min="1" max="1" width="67.8515625" style="11" customWidth="1"/>
    <col min="2" max="2" width="50.00390625" style="11" customWidth="1"/>
    <col min="3" max="16384" width="9.140625" style="11" customWidth="1"/>
  </cols>
  <sheetData>
    <row r="1" spans="1:2" ht="14.25">
      <c r="A1" s="684" t="str">
        <f>Parâmetros!A7</f>
        <v>Município de Barra do Quaraí</v>
      </c>
      <c r="B1" s="685"/>
    </row>
    <row r="2" spans="1:2" ht="14.25">
      <c r="A2" s="686" t="s">
        <v>36</v>
      </c>
      <c r="B2" s="685"/>
    </row>
    <row r="3" spans="1:2" ht="14.25">
      <c r="A3" s="686" t="str">
        <f>'Metas Cons'!A3:M3</f>
        <v>ANEXO DE METAS FISCAIS</v>
      </c>
      <c r="B3" s="685"/>
    </row>
    <row r="4" spans="1:2" ht="15">
      <c r="A4" s="689" t="s">
        <v>506</v>
      </c>
      <c r="B4" s="690"/>
    </row>
    <row r="5" spans="1:2" ht="14.25">
      <c r="A5" s="686" t="s">
        <v>614</v>
      </c>
      <c r="B5" s="685"/>
    </row>
    <row r="6" spans="1:2" ht="14.25">
      <c r="A6" s="686"/>
      <c r="B6" s="685"/>
    </row>
    <row r="7" spans="1:2" ht="15">
      <c r="A7" s="319" t="s">
        <v>507</v>
      </c>
      <c r="B7" s="320">
        <v>1</v>
      </c>
    </row>
    <row r="8" spans="1:2" s="12" customFormat="1" ht="25.5" customHeight="1">
      <c r="A8" s="286" t="s">
        <v>105</v>
      </c>
      <c r="B8" s="297" t="s">
        <v>619</v>
      </c>
    </row>
    <row r="9" spans="1:2" ht="15">
      <c r="A9" s="321" t="s">
        <v>106</v>
      </c>
      <c r="B9" s="322">
        <f>(B10+B11)</f>
        <v>1145205.7728410412</v>
      </c>
    </row>
    <row r="10" spans="1:2" ht="14.25">
      <c r="A10" s="294" t="s">
        <v>138</v>
      </c>
      <c r="B10" s="296">
        <f>(Projeções!G9/(1+Parâmetros!E11))-(Projeções!F9*(1+Parâmetros!D11))</f>
        <v>354824.269509149</v>
      </c>
    </row>
    <row r="11" spans="1:2" ht="14.25">
      <c r="A11" s="294" t="s">
        <v>139</v>
      </c>
      <c r="B11" s="296">
        <f>(Projeções!G39/(1+Parâmetros!E11))-(Projeções!F39*(1+Parâmetros!D11))</f>
        <v>790381.5033318922</v>
      </c>
    </row>
    <row r="12" spans="1:2" ht="14.25">
      <c r="A12" s="294" t="s">
        <v>185</v>
      </c>
      <c r="B12" s="296">
        <v>0</v>
      </c>
    </row>
    <row r="13" spans="1:2" ht="14.25">
      <c r="A13" s="295" t="s">
        <v>147</v>
      </c>
      <c r="B13" s="296">
        <f>(Projeções!G101/(1+Parâmetros!E11)-(Projeções!F101*(1+Parâmetros!D11)))</f>
        <v>-145466.4233369711</v>
      </c>
    </row>
    <row r="14" spans="1:2" ht="15">
      <c r="A14" s="323" t="s">
        <v>107</v>
      </c>
      <c r="B14" s="324">
        <f>B9+B13</f>
        <v>999739.3495040701</v>
      </c>
    </row>
    <row r="15" spans="1:2" ht="14.25">
      <c r="A15" s="295" t="s">
        <v>108</v>
      </c>
      <c r="B15" s="325">
        <v>0</v>
      </c>
    </row>
    <row r="16" spans="1:2" ht="15">
      <c r="A16" s="295" t="s">
        <v>109</v>
      </c>
      <c r="B16" s="324">
        <f>B14+B15</f>
        <v>999739.3495040701</v>
      </c>
    </row>
    <row r="17" spans="1:2" ht="14.25">
      <c r="A17" s="294" t="s">
        <v>110</v>
      </c>
      <c r="B17" s="296"/>
    </row>
    <row r="18" spans="1:2" ht="15">
      <c r="A18" s="323" t="s">
        <v>182</v>
      </c>
      <c r="B18" s="324">
        <f>B19+B20</f>
        <v>-96745.7920589773</v>
      </c>
    </row>
    <row r="19" spans="1:2" ht="14.25">
      <c r="A19" s="295" t="s">
        <v>140</v>
      </c>
      <c r="B19" s="296">
        <f>Projeções!G114/(1+Parâmetros!E11)-(Projeções!F114*(1+Parâmetros!D11))</f>
        <v>327717.4227842521</v>
      </c>
    </row>
    <row r="20" spans="1:2" ht="14.25">
      <c r="A20" s="295" t="s">
        <v>141</v>
      </c>
      <c r="B20" s="296">
        <f>Projeções!G122/(1+Parâmetros!E11)-Projeções!F122*(1+Parâmetros!D11)</f>
        <v>-424463.2148432294</v>
      </c>
    </row>
    <row r="21" spans="1:2" ht="15">
      <c r="A21" s="323" t="s">
        <v>183</v>
      </c>
      <c r="B21" s="326">
        <v>0</v>
      </c>
    </row>
    <row r="22" spans="1:2" ht="21" customHeight="1">
      <c r="A22" s="323" t="s">
        <v>184</v>
      </c>
      <c r="B22" s="327">
        <f>IF(B16-B17-B18&lt;0,"SEM MARGEM",B16-B17-B18)</f>
        <v>1096485.1415630474</v>
      </c>
    </row>
    <row r="23" spans="1:2" ht="15">
      <c r="A23" s="687"/>
      <c r="B23" s="688"/>
    </row>
    <row r="24" ht="12.75">
      <c r="A24" s="7"/>
    </row>
    <row r="25" spans="1:2" ht="12.75">
      <c r="A25" s="58"/>
      <c r="B25" s="58"/>
    </row>
    <row r="26" ht="12.75">
      <c r="A26" s="58"/>
    </row>
    <row r="27" ht="12.75">
      <c r="A27" s="58"/>
    </row>
    <row r="28" ht="12.75">
      <c r="A28" s="58"/>
    </row>
    <row r="29" ht="12.75">
      <c r="A29" s="58"/>
    </row>
    <row r="30" ht="12.75">
      <c r="A30" s="58"/>
    </row>
    <row r="31" ht="12.75">
      <c r="A31" s="58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26" bottom="0.46" header="0.17" footer="0.49212598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49.140625" style="59" customWidth="1"/>
    <col min="2" max="2" width="44.7109375" style="59" customWidth="1"/>
    <col min="3" max="16384" width="9.140625" style="59" customWidth="1"/>
  </cols>
  <sheetData>
    <row r="1" spans="1:2" ht="14.25">
      <c r="A1" s="570" t="str">
        <f>Parâmetros!A7</f>
        <v>Município de Barra do Quaraí</v>
      </c>
      <c r="B1" s="569"/>
    </row>
    <row r="2" spans="1:2" ht="14.25">
      <c r="A2" s="567" t="s">
        <v>36</v>
      </c>
      <c r="B2" s="569"/>
    </row>
    <row r="3" spans="1:2" ht="14.25">
      <c r="A3" s="567" t="str">
        <f>'Metas Cons'!A3:M3</f>
        <v>ANEXO DE METAS FISCAIS</v>
      </c>
      <c r="B3" s="569"/>
    </row>
    <row r="4" spans="1:2" ht="15">
      <c r="A4" s="571" t="s">
        <v>506</v>
      </c>
      <c r="B4" s="573"/>
    </row>
    <row r="5" spans="1:2" ht="14.25">
      <c r="A5" s="567" t="s">
        <v>614</v>
      </c>
      <c r="B5" s="569"/>
    </row>
    <row r="6" spans="1:2" ht="14.25">
      <c r="A6" s="567"/>
      <c r="B6" s="569"/>
    </row>
    <row r="7" spans="1:2" ht="28.5">
      <c r="A7" s="180" t="s">
        <v>507</v>
      </c>
      <c r="B7" s="184">
        <v>1</v>
      </c>
    </row>
    <row r="8" spans="1:2" s="60" customFormat="1" ht="25.5" customHeight="1">
      <c r="A8" s="185" t="s">
        <v>105</v>
      </c>
      <c r="B8" s="328" t="s">
        <v>619</v>
      </c>
    </row>
    <row r="9" spans="1:2" ht="15">
      <c r="A9" s="329" t="s">
        <v>106</v>
      </c>
      <c r="B9" s="330"/>
    </row>
    <row r="10" spans="1:2" ht="14.25">
      <c r="A10" s="331" t="s">
        <v>138</v>
      </c>
      <c r="B10" s="332"/>
    </row>
    <row r="11" spans="1:2" ht="14.25">
      <c r="A11" s="331" t="s">
        <v>139</v>
      </c>
      <c r="B11" s="332"/>
    </row>
    <row r="12" spans="1:2" ht="14.25">
      <c r="A12" s="333" t="s">
        <v>147</v>
      </c>
      <c r="B12" s="332"/>
    </row>
    <row r="13" spans="1:2" ht="30">
      <c r="A13" s="334" t="s">
        <v>107</v>
      </c>
      <c r="B13" s="335"/>
    </row>
    <row r="14" spans="1:2" ht="14.25">
      <c r="A14" s="333" t="s">
        <v>108</v>
      </c>
      <c r="B14" s="336"/>
    </row>
    <row r="15" spans="1:2" ht="15">
      <c r="A15" s="333" t="s">
        <v>109</v>
      </c>
      <c r="B15" s="335"/>
    </row>
    <row r="16" spans="1:2" ht="14.25">
      <c r="A16" s="331" t="s">
        <v>110</v>
      </c>
      <c r="B16" s="332"/>
    </row>
    <row r="17" spans="1:2" ht="15">
      <c r="A17" s="334" t="s">
        <v>111</v>
      </c>
      <c r="B17" s="335"/>
    </row>
    <row r="18" spans="1:2" ht="14.25">
      <c r="A18" s="333" t="s">
        <v>140</v>
      </c>
      <c r="B18" s="332"/>
    </row>
    <row r="19" spans="1:2" ht="14.25">
      <c r="A19" s="333" t="s">
        <v>141</v>
      </c>
      <c r="B19" s="332"/>
    </row>
    <row r="20" spans="1:2" ht="15">
      <c r="A20" s="334" t="s">
        <v>112</v>
      </c>
      <c r="B20" s="337">
        <f>IF(B15-B16-B17&lt;0,"SEM MARGEM",B15-B16-B17)</f>
        <v>0</v>
      </c>
    </row>
    <row r="21" spans="1:2" ht="11.25">
      <c r="A21" s="691" t="s">
        <v>123</v>
      </c>
      <c r="B21" s="692"/>
    </row>
    <row r="22" ht="11.25">
      <c r="A22" s="61"/>
    </row>
    <row r="23" spans="1:2" ht="11.25">
      <c r="A23" s="62"/>
      <c r="B23" s="62"/>
    </row>
    <row r="24" ht="11.25">
      <c r="A24" s="62"/>
    </row>
    <row r="25" ht="11.25">
      <c r="A25" s="62"/>
    </row>
    <row r="26" ht="11.25">
      <c r="A26" s="62"/>
    </row>
    <row r="27" ht="11.25">
      <c r="A27" s="62"/>
    </row>
    <row r="28" ht="11.25">
      <c r="A28" s="62"/>
    </row>
    <row r="29" ht="11.25">
      <c r="A29" s="62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8.8515625" style="11" customWidth="1"/>
    <col min="2" max="2" width="15.7109375" style="11" customWidth="1"/>
    <col min="3" max="3" width="36.8515625" style="11" customWidth="1"/>
    <col min="4" max="4" width="15.7109375" style="11" customWidth="1"/>
    <col min="5" max="5" width="9.140625" style="11" customWidth="1"/>
  </cols>
  <sheetData>
    <row r="1" spans="1:4" ht="14.25">
      <c r="A1" s="702" t="str">
        <f>Parâmetros!A7</f>
        <v>Município de Barra do Quaraí</v>
      </c>
      <c r="B1" s="700"/>
      <c r="C1" s="700"/>
      <c r="D1" s="700"/>
    </row>
    <row r="2" spans="1:4" ht="14.25">
      <c r="A2" s="700" t="s">
        <v>36</v>
      </c>
      <c r="B2" s="700"/>
      <c r="C2" s="700"/>
      <c r="D2" s="700"/>
    </row>
    <row r="3" spans="1:4" ht="14.25">
      <c r="A3" s="700" t="s">
        <v>164</v>
      </c>
      <c r="B3" s="700"/>
      <c r="C3" s="700"/>
      <c r="D3" s="700"/>
    </row>
    <row r="4" spans="1:4" ht="15">
      <c r="A4" s="703" t="s">
        <v>113</v>
      </c>
      <c r="B4" s="703"/>
      <c r="C4" s="703"/>
      <c r="D4" s="703"/>
    </row>
    <row r="5" spans="1:4" ht="14.25">
      <c r="A5" s="700" t="s">
        <v>614</v>
      </c>
      <c r="B5" s="700"/>
      <c r="C5" s="700"/>
      <c r="D5" s="700"/>
    </row>
    <row r="6" spans="1:4" ht="14.25">
      <c r="A6" s="701"/>
      <c r="B6" s="701"/>
      <c r="C6" s="701"/>
      <c r="D6" s="701"/>
    </row>
    <row r="7" spans="1:4" ht="14.25">
      <c r="A7" s="693" t="s">
        <v>512</v>
      </c>
      <c r="B7" s="693"/>
      <c r="C7" s="694">
        <v>1</v>
      </c>
      <c r="D7" s="694"/>
    </row>
    <row r="8" spans="1:4" ht="15">
      <c r="A8" s="696" t="s">
        <v>165</v>
      </c>
      <c r="B8" s="696"/>
      <c r="C8" s="696" t="s">
        <v>114</v>
      </c>
      <c r="D8" s="696"/>
    </row>
    <row r="9" spans="1:4" ht="15">
      <c r="A9" s="338" t="s">
        <v>115</v>
      </c>
      <c r="B9" s="338" t="s">
        <v>57</v>
      </c>
      <c r="C9" s="338" t="s">
        <v>115</v>
      </c>
      <c r="D9" s="338" t="s">
        <v>57</v>
      </c>
    </row>
    <row r="10" spans="1:4" ht="28.5">
      <c r="A10" s="339" t="s">
        <v>166</v>
      </c>
      <c r="B10" s="340">
        <v>250000</v>
      </c>
      <c r="C10" s="341" t="s">
        <v>654</v>
      </c>
      <c r="D10" s="340">
        <v>300000</v>
      </c>
    </row>
    <row r="11" spans="1:4" ht="28.5">
      <c r="A11" s="339" t="s">
        <v>167</v>
      </c>
      <c r="B11" s="340"/>
      <c r="C11" s="341"/>
      <c r="D11" s="340"/>
    </row>
    <row r="12" spans="1:4" ht="14.25">
      <c r="A12" s="339" t="s">
        <v>168</v>
      </c>
      <c r="B12" s="340"/>
      <c r="C12" s="341"/>
      <c r="D12" s="340"/>
    </row>
    <row r="13" spans="1:4" ht="14.25">
      <c r="A13" s="339" t="s">
        <v>169</v>
      </c>
      <c r="B13" s="340"/>
      <c r="C13" s="341"/>
      <c r="D13" s="340"/>
    </row>
    <row r="14" spans="1:4" ht="14.25">
      <c r="A14" s="339" t="s">
        <v>170</v>
      </c>
      <c r="B14" s="340">
        <v>0</v>
      </c>
      <c r="C14" s="341"/>
      <c r="D14" s="340"/>
    </row>
    <row r="15" spans="1:4" ht="14.25">
      <c r="A15" s="339" t="s">
        <v>171</v>
      </c>
      <c r="B15" s="340"/>
      <c r="C15" s="341"/>
      <c r="D15" s="340"/>
    </row>
    <row r="16" spans="1:4" ht="15">
      <c r="A16" s="342" t="s">
        <v>172</v>
      </c>
      <c r="B16" s="343">
        <f>SUM(B10:B15)</f>
        <v>250000</v>
      </c>
      <c r="C16" s="344" t="s">
        <v>172</v>
      </c>
      <c r="D16" s="345">
        <f>SUM(D10:D15)</f>
        <v>300000</v>
      </c>
    </row>
    <row r="17" spans="1:4" ht="14.25">
      <c r="A17" s="697"/>
      <c r="B17" s="697"/>
      <c r="C17" s="698"/>
      <c r="D17" s="699"/>
    </row>
    <row r="18" spans="1:4" ht="15">
      <c r="A18" s="695" t="s">
        <v>173</v>
      </c>
      <c r="B18" s="695"/>
      <c r="C18" s="696" t="s">
        <v>114</v>
      </c>
      <c r="D18" s="696"/>
    </row>
    <row r="19" spans="1:4" ht="15">
      <c r="A19" s="338" t="s">
        <v>115</v>
      </c>
      <c r="B19" s="338" t="s">
        <v>57</v>
      </c>
      <c r="C19" s="338" t="s">
        <v>115</v>
      </c>
      <c r="D19" s="338" t="s">
        <v>57</v>
      </c>
    </row>
    <row r="20" spans="1:4" ht="28.5">
      <c r="A20" s="339" t="s">
        <v>174</v>
      </c>
      <c r="B20" s="340"/>
      <c r="C20" s="341" t="s">
        <v>655</v>
      </c>
      <c r="D20" s="340">
        <v>100000</v>
      </c>
    </row>
    <row r="21" spans="1:4" ht="14.25">
      <c r="A21" s="339" t="s">
        <v>175</v>
      </c>
      <c r="B21" s="340"/>
      <c r="C21" s="341"/>
      <c r="D21" s="340"/>
    </row>
    <row r="22" spans="1:4" ht="14.25">
      <c r="A22" s="339" t="s">
        <v>176</v>
      </c>
      <c r="B22" s="340">
        <v>100000</v>
      </c>
      <c r="C22" s="341"/>
      <c r="D22" s="340"/>
    </row>
    <row r="23" spans="1:4" ht="14.25">
      <c r="A23" s="339" t="s">
        <v>177</v>
      </c>
      <c r="B23" s="340">
        <v>0</v>
      </c>
      <c r="C23" s="341"/>
      <c r="D23" s="340"/>
    </row>
    <row r="24" spans="1:4" ht="14.25">
      <c r="A24" s="339" t="s">
        <v>172</v>
      </c>
      <c r="B24" s="346">
        <f>SUM(B20:B23)</f>
        <v>100000</v>
      </c>
      <c r="C24" s="339" t="s">
        <v>172</v>
      </c>
      <c r="D24" s="346">
        <f>SUM(D20:D23)</f>
        <v>100000</v>
      </c>
    </row>
    <row r="25" spans="1:4" ht="15">
      <c r="A25" s="344" t="s">
        <v>89</v>
      </c>
      <c r="B25" s="345">
        <f>B16+B24</f>
        <v>350000</v>
      </c>
      <c r="C25" s="344" t="s">
        <v>89</v>
      </c>
      <c r="D25" s="345">
        <f>D16+D24</f>
        <v>400000</v>
      </c>
    </row>
  </sheetData>
  <sheetProtection/>
  <mergeCells count="14">
    <mergeCell ref="A5:D5"/>
    <mergeCell ref="A6:D6"/>
    <mergeCell ref="A1:D1"/>
    <mergeCell ref="A2:D2"/>
    <mergeCell ref="A3:D3"/>
    <mergeCell ref="A4:D4"/>
    <mergeCell ref="A7:B7"/>
    <mergeCell ref="C7:D7"/>
    <mergeCell ref="A18:B18"/>
    <mergeCell ref="C18:D18"/>
    <mergeCell ref="A8:B8"/>
    <mergeCell ref="C8:D8"/>
    <mergeCell ref="A17:B17"/>
    <mergeCell ref="C17:D17"/>
  </mergeCells>
  <printOptions/>
  <pageMargins left="0.787401575" right="0.787401575" top="0.35" bottom="0.984251969" header="0.21" footer="0.49212598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37" sqref="E37"/>
    </sheetView>
  </sheetViews>
  <sheetFormatPr defaultColWidth="9.140625" defaultRowHeight="12.75"/>
  <cols>
    <col min="2" max="2" width="50.00390625" style="0" customWidth="1"/>
    <col min="3" max="3" width="16.57421875" style="0" customWidth="1"/>
    <col min="4" max="4" width="12.00390625" style="0" customWidth="1"/>
    <col min="5" max="5" width="101.140625" style="0" customWidth="1"/>
  </cols>
  <sheetData>
    <row r="1" spans="1:5" ht="12.75">
      <c r="A1" s="715" t="s">
        <v>620</v>
      </c>
      <c r="B1" s="716"/>
      <c r="C1" s="716"/>
      <c r="D1" s="716"/>
      <c r="E1" s="717"/>
    </row>
    <row r="2" spans="1:5" ht="12.75">
      <c r="A2" s="718" t="s">
        <v>188</v>
      </c>
      <c r="B2" s="480"/>
      <c r="C2" s="480"/>
      <c r="D2" s="480"/>
      <c r="E2" s="719"/>
    </row>
    <row r="3" spans="1:5" ht="12.75">
      <c r="A3" s="68"/>
      <c r="B3" s="69"/>
      <c r="C3" s="69"/>
      <c r="D3" s="69"/>
      <c r="E3" s="70"/>
    </row>
    <row r="4" spans="1:5" ht="12.75">
      <c r="A4" s="720" t="s">
        <v>189</v>
      </c>
      <c r="B4" s="721"/>
      <c r="C4" s="69"/>
      <c r="D4" s="69"/>
      <c r="E4" s="70"/>
    </row>
    <row r="5" spans="1:5" ht="12.75">
      <c r="A5" s="720" t="s">
        <v>190</v>
      </c>
      <c r="B5" s="480"/>
      <c r="C5" s="69"/>
      <c r="D5" s="69"/>
      <c r="E5" s="70"/>
    </row>
    <row r="6" spans="1:5" ht="13.5" thickBot="1">
      <c r="A6" s="71"/>
      <c r="B6" s="72"/>
      <c r="C6" s="72"/>
      <c r="D6" s="72"/>
      <c r="E6" s="73"/>
    </row>
    <row r="7" spans="1:5" ht="12.75">
      <c r="A7" s="709" t="s">
        <v>191</v>
      </c>
      <c r="B7" s="74" t="s">
        <v>192</v>
      </c>
      <c r="C7" s="709" t="s">
        <v>193</v>
      </c>
      <c r="D7" s="712"/>
      <c r="E7" s="74"/>
    </row>
    <row r="8" spans="1:5" ht="12.75">
      <c r="A8" s="710"/>
      <c r="B8" s="75"/>
      <c r="C8" s="710"/>
      <c r="D8" s="713"/>
      <c r="E8" s="75">
        <v>2019</v>
      </c>
    </row>
    <row r="9" spans="1:5" ht="13.5" thickBot="1">
      <c r="A9" s="711"/>
      <c r="B9" s="76" t="s">
        <v>194</v>
      </c>
      <c r="C9" s="711"/>
      <c r="D9" s="714"/>
      <c r="E9" s="77"/>
    </row>
    <row r="10" spans="1:5" ht="12.75">
      <c r="A10" s="704"/>
      <c r="B10" s="704"/>
      <c r="C10" s="704"/>
      <c r="D10" s="78" t="s">
        <v>195</v>
      </c>
      <c r="E10" s="704"/>
    </row>
    <row r="11" spans="1:5" ht="13.5" thickBot="1">
      <c r="A11" s="705"/>
      <c r="B11" s="705"/>
      <c r="C11" s="705"/>
      <c r="D11" s="79" t="s">
        <v>57</v>
      </c>
      <c r="E11" s="705"/>
    </row>
    <row r="12" spans="1:5" ht="12.75">
      <c r="A12" s="704"/>
      <c r="B12" s="704"/>
      <c r="C12" s="704"/>
      <c r="D12" s="78" t="s">
        <v>195</v>
      </c>
      <c r="E12" s="704"/>
    </row>
    <row r="13" spans="1:5" ht="13.5" thickBot="1">
      <c r="A13" s="705"/>
      <c r="B13" s="705"/>
      <c r="C13" s="705"/>
      <c r="D13" s="79" t="s">
        <v>57</v>
      </c>
      <c r="E13" s="705"/>
    </row>
    <row r="14" spans="1:5" ht="12.75">
      <c r="A14" s="704"/>
      <c r="B14" s="704"/>
      <c r="C14" s="704"/>
      <c r="D14" s="78" t="s">
        <v>195</v>
      </c>
      <c r="E14" s="704"/>
    </row>
    <row r="15" spans="1:5" ht="13.5" thickBot="1">
      <c r="A15" s="705"/>
      <c r="B15" s="705"/>
      <c r="C15" s="705"/>
      <c r="D15" s="79" t="s">
        <v>57</v>
      </c>
      <c r="E15" s="705"/>
    </row>
    <row r="16" spans="1:5" ht="12.75">
      <c r="A16" s="704"/>
      <c r="B16" s="704"/>
      <c r="C16" s="704"/>
      <c r="D16" s="78" t="s">
        <v>195</v>
      </c>
      <c r="E16" s="704"/>
    </row>
    <row r="17" spans="1:5" ht="13.5" thickBot="1">
      <c r="A17" s="705"/>
      <c r="B17" s="705"/>
      <c r="C17" s="705"/>
      <c r="D17" s="79" t="s">
        <v>57</v>
      </c>
      <c r="E17" s="705"/>
    </row>
    <row r="18" spans="1:5" ht="12.75">
      <c r="A18" s="704"/>
      <c r="B18" s="704"/>
      <c r="C18" s="704"/>
      <c r="D18" s="78" t="s">
        <v>195</v>
      </c>
      <c r="E18" s="704"/>
    </row>
    <row r="19" spans="1:5" ht="13.5" thickBot="1">
      <c r="A19" s="705"/>
      <c r="B19" s="705"/>
      <c r="C19" s="705"/>
      <c r="D19" s="79" t="s">
        <v>57</v>
      </c>
      <c r="E19" s="705"/>
    </row>
    <row r="20" spans="1:5" ht="12.75">
      <c r="A20" s="704"/>
      <c r="B20" s="704"/>
      <c r="C20" s="704"/>
      <c r="D20" s="78" t="s">
        <v>195</v>
      </c>
      <c r="E20" s="704"/>
    </row>
    <row r="21" spans="1:5" ht="13.5" thickBot="1">
      <c r="A21" s="705"/>
      <c r="B21" s="705"/>
      <c r="C21" s="705"/>
      <c r="D21" s="79" t="s">
        <v>57</v>
      </c>
      <c r="E21" s="705"/>
    </row>
    <row r="22" spans="1:5" ht="12.75">
      <c r="A22" s="704"/>
      <c r="B22" s="704"/>
      <c r="C22" s="704"/>
      <c r="D22" s="78" t="s">
        <v>195</v>
      </c>
      <c r="E22" s="704"/>
    </row>
    <row r="23" spans="1:5" ht="13.5" thickBot="1">
      <c r="A23" s="705"/>
      <c r="B23" s="705"/>
      <c r="C23" s="705"/>
      <c r="D23" s="79" t="s">
        <v>57</v>
      </c>
      <c r="E23" s="705"/>
    </row>
    <row r="24" spans="1:5" ht="12.75">
      <c r="A24" s="704"/>
      <c r="B24" s="704"/>
      <c r="C24" s="704"/>
      <c r="D24" s="78" t="s">
        <v>195</v>
      </c>
      <c r="E24" s="704"/>
    </row>
    <row r="25" spans="1:5" ht="13.5" thickBot="1">
      <c r="A25" s="705"/>
      <c r="B25" s="705"/>
      <c r="C25" s="705"/>
      <c r="D25" s="79" t="s">
        <v>57</v>
      </c>
      <c r="E25" s="705"/>
    </row>
    <row r="26" spans="1:5" ht="12.75">
      <c r="A26" s="704"/>
      <c r="B26" s="704"/>
      <c r="C26" s="704"/>
      <c r="D26" s="78" t="s">
        <v>195</v>
      </c>
      <c r="E26" s="704"/>
    </row>
    <row r="27" spans="1:5" ht="13.5" thickBot="1">
      <c r="A27" s="705"/>
      <c r="B27" s="705"/>
      <c r="C27" s="705"/>
      <c r="D27" s="79" t="s">
        <v>57</v>
      </c>
      <c r="E27" s="705"/>
    </row>
    <row r="28" spans="1:5" ht="12.75">
      <c r="A28" s="704"/>
      <c r="B28" s="704"/>
      <c r="C28" s="704"/>
      <c r="D28" s="78" t="s">
        <v>195</v>
      </c>
      <c r="E28" s="704"/>
    </row>
    <row r="29" spans="1:5" ht="13.5" thickBot="1">
      <c r="A29" s="705"/>
      <c r="B29" s="705"/>
      <c r="C29" s="705"/>
      <c r="D29" s="79" t="s">
        <v>57</v>
      </c>
      <c r="E29" s="705"/>
    </row>
    <row r="30" spans="1:5" ht="12.75">
      <c r="A30" s="704"/>
      <c r="B30" s="704"/>
      <c r="C30" s="704"/>
      <c r="D30" s="78" t="s">
        <v>195</v>
      </c>
      <c r="E30" s="704"/>
    </row>
    <row r="31" spans="1:5" ht="13.5" thickBot="1">
      <c r="A31" s="705"/>
      <c r="B31" s="705"/>
      <c r="C31" s="705"/>
      <c r="D31" s="79" t="s">
        <v>57</v>
      </c>
      <c r="E31" s="705"/>
    </row>
    <row r="32" spans="1:5" ht="12.75">
      <c r="A32" s="704"/>
      <c r="B32" s="704"/>
      <c r="C32" s="704"/>
      <c r="D32" s="78" t="s">
        <v>195</v>
      </c>
      <c r="E32" s="704"/>
    </row>
    <row r="33" spans="1:5" ht="13.5" thickBot="1">
      <c r="A33" s="705"/>
      <c r="B33" s="705"/>
      <c r="C33" s="705"/>
      <c r="D33" s="78" t="s">
        <v>57</v>
      </c>
      <c r="E33" s="705"/>
    </row>
    <row r="34" spans="1:5" ht="13.5" thickBot="1">
      <c r="A34" s="706" t="s">
        <v>196</v>
      </c>
      <c r="B34" s="707"/>
      <c r="C34" s="707"/>
      <c r="D34" s="708"/>
      <c r="E34" s="80"/>
    </row>
    <row r="35" spans="1:2" ht="12.75">
      <c r="A35" s="81" t="s">
        <v>197</v>
      </c>
      <c r="B35" s="81" t="s">
        <v>198</v>
      </c>
    </row>
  </sheetData>
  <sheetProtection/>
  <mergeCells count="56">
    <mergeCell ref="A7:A9"/>
    <mergeCell ref="C7:C9"/>
    <mergeCell ref="D7:D9"/>
    <mergeCell ref="A1:E1"/>
    <mergeCell ref="A2:E2"/>
    <mergeCell ref="A4:B4"/>
    <mergeCell ref="A5:B5"/>
    <mergeCell ref="A10:A11"/>
    <mergeCell ref="B10:B11"/>
    <mergeCell ref="C10:C11"/>
    <mergeCell ref="E10:E11"/>
    <mergeCell ref="A12:A13"/>
    <mergeCell ref="B12:B13"/>
    <mergeCell ref="C12:C13"/>
    <mergeCell ref="E12:E13"/>
    <mergeCell ref="A14:A15"/>
    <mergeCell ref="B14:B15"/>
    <mergeCell ref="C14:C15"/>
    <mergeCell ref="E14:E15"/>
    <mergeCell ref="A16:A17"/>
    <mergeCell ref="B16:B17"/>
    <mergeCell ref="C16:C17"/>
    <mergeCell ref="E16:E17"/>
    <mergeCell ref="A18:A19"/>
    <mergeCell ref="B18:B19"/>
    <mergeCell ref="C18:C19"/>
    <mergeCell ref="E18:E19"/>
    <mergeCell ref="A20:A21"/>
    <mergeCell ref="B20:B21"/>
    <mergeCell ref="C20:C21"/>
    <mergeCell ref="E20:E21"/>
    <mergeCell ref="A22:A23"/>
    <mergeCell ref="B22:B23"/>
    <mergeCell ref="C22:C23"/>
    <mergeCell ref="E22:E23"/>
    <mergeCell ref="A24:A25"/>
    <mergeCell ref="B24:B25"/>
    <mergeCell ref="C24:C25"/>
    <mergeCell ref="E24:E25"/>
    <mergeCell ref="A26:A27"/>
    <mergeCell ref="B26:B27"/>
    <mergeCell ref="C26:C27"/>
    <mergeCell ref="E26:E27"/>
    <mergeCell ref="A28:A29"/>
    <mergeCell ref="B28:B29"/>
    <mergeCell ref="C28:C29"/>
    <mergeCell ref="E28:E29"/>
    <mergeCell ref="E32:E33"/>
    <mergeCell ref="A30:A31"/>
    <mergeCell ref="B30:B31"/>
    <mergeCell ref="C30:C31"/>
    <mergeCell ref="E30:E31"/>
    <mergeCell ref="A34:D34"/>
    <mergeCell ref="A32:A33"/>
    <mergeCell ref="B32:B33"/>
    <mergeCell ref="C32:C3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L2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2.28125" style="0" customWidth="1"/>
    <col min="4" max="4" width="14.421875" style="0" customWidth="1"/>
    <col min="5" max="5" width="11.28125" style="0" customWidth="1"/>
    <col min="6" max="6" width="12.421875" style="0" customWidth="1"/>
    <col min="7" max="7" width="10.8515625" style="0" customWidth="1"/>
    <col min="8" max="8" width="11.57421875" style="0" customWidth="1"/>
    <col min="10" max="10" width="5.8515625" style="0" customWidth="1"/>
    <col min="11" max="11" width="3.7109375" style="0" hidden="1" customWidth="1"/>
    <col min="12" max="12" width="13.140625" style="0" customWidth="1"/>
  </cols>
  <sheetData>
    <row r="1" spans="1:12" ht="12.75">
      <c r="A1" s="758" t="s">
        <v>669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60"/>
    </row>
    <row r="2" spans="1:12" ht="13.5" thickBot="1">
      <c r="A2" s="761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3"/>
    </row>
    <row r="3" spans="1:12" ht="15.75">
      <c r="A3" s="758" t="s">
        <v>621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5"/>
    </row>
    <row r="4" spans="1:12" ht="15.75">
      <c r="A4" s="766" t="s">
        <v>199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8"/>
    </row>
    <row r="5" spans="1:12" ht="16.5" thickBot="1">
      <c r="A5" s="769" t="s">
        <v>200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1"/>
    </row>
    <row r="6" spans="1:12" ht="15.75" thickBot="1">
      <c r="A6" s="747" t="s">
        <v>201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9"/>
    </row>
    <row r="7" spans="1:12" ht="13.5" thickBot="1">
      <c r="A7" s="750"/>
      <c r="B7" s="751"/>
      <c r="C7" s="82"/>
      <c r="D7" s="82"/>
      <c r="E7" s="752" t="s">
        <v>202</v>
      </c>
      <c r="F7" s="753"/>
      <c r="G7" s="754"/>
      <c r="H7" s="772" t="s">
        <v>622</v>
      </c>
      <c r="I7" s="773"/>
      <c r="J7" s="773"/>
      <c r="K7" s="773"/>
      <c r="L7" s="774"/>
    </row>
    <row r="8" spans="1:12" ht="12.75">
      <c r="A8" s="741" t="s">
        <v>203</v>
      </c>
      <c r="B8" s="743"/>
      <c r="C8" s="739" t="s">
        <v>204</v>
      </c>
      <c r="D8" s="739" t="s">
        <v>205</v>
      </c>
      <c r="E8" s="739" t="s">
        <v>623</v>
      </c>
      <c r="F8" s="739" t="s">
        <v>624</v>
      </c>
      <c r="G8" s="739" t="s">
        <v>625</v>
      </c>
      <c r="H8" s="739" t="s">
        <v>206</v>
      </c>
      <c r="I8" s="741" t="s">
        <v>212</v>
      </c>
      <c r="J8" s="742"/>
      <c r="K8" s="743"/>
      <c r="L8" s="739" t="s">
        <v>207</v>
      </c>
    </row>
    <row r="9" spans="1:12" ht="29.25" customHeight="1" thickBot="1">
      <c r="A9" s="744"/>
      <c r="B9" s="746"/>
      <c r="C9" s="740"/>
      <c r="D9" s="740"/>
      <c r="E9" s="740"/>
      <c r="F9" s="740"/>
      <c r="G9" s="740"/>
      <c r="H9" s="740"/>
      <c r="I9" s="744"/>
      <c r="J9" s="745"/>
      <c r="K9" s="746"/>
      <c r="L9" s="740"/>
    </row>
    <row r="10" spans="1:12" ht="13.5" thickBot="1">
      <c r="A10" s="725" t="s">
        <v>656</v>
      </c>
      <c r="B10" s="726"/>
      <c r="C10" s="469">
        <v>42450</v>
      </c>
      <c r="D10" s="470">
        <v>273750</v>
      </c>
      <c r="E10" s="299">
        <v>0.8</v>
      </c>
      <c r="F10" s="299">
        <v>0.2</v>
      </c>
      <c r="G10" s="465"/>
      <c r="H10" s="473"/>
      <c r="I10" s="755"/>
      <c r="J10" s="756"/>
      <c r="K10" s="757"/>
      <c r="L10" s="473"/>
    </row>
    <row r="11" spans="1:12" ht="13.5" thickBot="1">
      <c r="A11" s="725"/>
      <c r="B11" s="726"/>
      <c r="C11" s="300"/>
      <c r="D11" s="301"/>
      <c r="E11" s="299"/>
      <c r="F11" s="299"/>
      <c r="G11" s="465"/>
      <c r="H11" s="475"/>
      <c r="I11" s="727"/>
      <c r="J11" s="728"/>
      <c r="K11" s="729"/>
      <c r="L11" s="475"/>
    </row>
    <row r="12" spans="1:12" ht="13.5" thickBot="1">
      <c r="A12" s="725" t="s">
        <v>657</v>
      </c>
      <c r="B12" s="726"/>
      <c r="C12" s="302"/>
      <c r="D12" s="471">
        <v>120000</v>
      </c>
      <c r="E12" s="299"/>
      <c r="F12" s="299">
        <v>0.5</v>
      </c>
      <c r="G12" s="465">
        <v>0.5</v>
      </c>
      <c r="H12" s="474"/>
      <c r="I12" s="736"/>
      <c r="J12" s="737"/>
      <c r="K12" s="738"/>
      <c r="L12" s="474"/>
    </row>
    <row r="13" spans="1:12" ht="13.5" thickBot="1">
      <c r="A13" s="725" t="s">
        <v>659</v>
      </c>
      <c r="B13" s="726"/>
      <c r="C13" s="302"/>
      <c r="D13" s="470"/>
      <c r="E13" s="299"/>
      <c r="F13" s="299">
        <v>0.25</v>
      </c>
      <c r="G13" s="465">
        <v>0.75</v>
      </c>
      <c r="H13" s="475"/>
      <c r="I13" s="727"/>
      <c r="J13" s="728"/>
      <c r="K13" s="729"/>
      <c r="L13" s="476">
        <v>250000</v>
      </c>
    </row>
    <row r="14" spans="1:12" ht="27" customHeight="1" thickBot="1">
      <c r="A14" s="725" t="s">
        <v>660</v>
      </c>
      <c r="B14" s="726"/>
      <c r="C14" s="300"/>
      <c r="D14" s="301"/>
      <c r="E14" s="299"/>
      <c r="F14" s="299"/>
      <c r="G14" s="465"/>
      <c r="H14" s="475"/>
      <c r="I14" s="727"/>
      <c r="J14" s="728"/>
      <c r="K14" s="729"/>
      <c r="L14" s="476">
        <v>400000</v>
      </c>
    </row>
    <row r="15" spans="1:12" ht="13.5" customHeight="1" thickBot="1">
      <c r="A15" s="725" t="s">
        <v>658</v>
      </c>
      <c r="B15" s="726"/>
      <c r="C15" s="302"/>
      <c r="D15" s="301"/>
      <c r="E15" s="299"/>
      <c r="F15" s="299"/>
      <c r="G15" s="465"/>
      <c r="H15" s="475"/>
      <c r="I15" s="727" t="s">
        <v>661</v>
      </c>
      <c r="J15" s="728"/>
      <c r="K15" s="729"/>
      <c r="L15" s="475"/>
    </row>
    <row r="16" spans="1:12" ht="13.5" thickBot="1">
      <c r="A16" s="725" t="s">
        <v>662</v>
      </c>
      <c r="B16" s="726"/>
      <c r="C16" s="300"/>
      <c r="D16" s="471">
        <v>250000</v>
      </c>
      <c r="E16" s="299"/>
      <c r="F16" s="299">
        <v>0.5</v>
      </c>
      <c r="G16" s="465">
        <v>0.5</v>
      </c>
      <c r="H16" s="475"/>
      <c r="I16" s="727"/>
      <c r="J16" s="728"/>
      <c r="K16" s="729"/>
      <c r="L16" s="475"/>
    </row>
    <row r="17" spans="1:12" ht="13.5" thickBot="1">
      <c r="A17" s="725" t="s">
        <v>663</v>
      </c>
      <c r="B17" s="726"/>
      <c r="C17" s="478">
        <v>43006</v>
      </c>
      <c r="D17" s="471">
        <v>244000</v>
      </c>
      <c r="E17" s="299">
        <v>0.3416</v>
      </c>
      <c r="F17" s="299">
        <v>0.6584</v>
      </c>
      <c r="G17" s="465"/>
      <c r="H17" s="475"/>
      <c r="I17" s="727"/>
      <c r="J17" s="728"/>
      <c r="K17" s="729"/>
      <c r="L17" s="475"/>
    </row>
    <row r="18" spans="1:12" ht="13.5" thickBot="1">
      <c r="A18" s="725" t="s">
        <v>664</v>
      </c>
      <c r="B18" s="726"/>
      <c r="C18" s="300"/>
      <c r="D18" s="471">
        <v>151845.65</v>
      </c>
      <c r="E18" s="299"/>
      <c r="F18" s="299">
        <v>0.5</v>
      </c>
      <c r="G18" s="465">
        <v>0.5</v>
      </c>
      <c r="H18" s="475"/>
      <c r="I18" s="727"/>
      <c r="J18" s="728"/>
      <c r="K18" s="729"/>
      <c r="L18" s="475"/>
    </row>
    <row r="19" spans="1:12" ht="13.5" thickBot="1">
      <c r="A19" s="725" t="s">
        <v>665</v>
      </c>
      <c r="B19" s="726"/>
      <c r="C19" s="300"/>
      <c r="D19" s="471">
        <v>250000</v>
      </c>
      <c r="E19" s="299"/>
      <c r="F19" s="299">
        <v>0.5</v>
      </c>
      <c r="G19" s="465">
        <v>0.5</v>
      </c>
      <c r="H19" s="475"/>
      <c r="I19" s="727"/>
      <c r="J19" s="728"/>
      <c r="K19" s="729"/>
      <c r="L19" s="475"/>
    </row>
    <row r="20" spans="1:12" ht="13.5" thickBot="1">
      <c r="A20" s="725" t="s">
        <v>666</v>
      </c>
      <c r="B20" s="726"/>
      <c r="C20" s="300"/>
      <c r="D20" s="471">
        <v>250000</v>
      </c>
      <c r="E20" s="299"/>
      <c r="F20" s="299">
        <v>0.3</v>
      </c>
      <c r="G20" s="465">
        <v>0.8</v>
      </c>
      <c r="H20" s="474"/>
      <c r="I20" s="736"/>
      <c r="J20" s="737"/>
      <c r="K20" s="738"/>
      <c r="L20" s="474"/>
    </row>
    <row r="21" spans="1:12" ht="13.5" thickBot="1">
      <c r="A21" s="725" t="s">
        <v>667</v>
      </c>
      <c r="B21" s="726"/>
      <c r="C21" s="300"/>
      <c r="D21" s="471">
        <v>223157.14</v>
      </c>
      <c r="E21" s="299"/>
      <c r="F21" s="299"/>
      <c r="G21" s="465">
        <v>1</v>
      </c>
      <c r="H21" s="475"/>
      <c r="I21" s="727"/>
      <c r="J21" s="728"/>
      <c r="K21" s="729"/>
      <c r="L21" s="475"/>
    </row>
    <row r="22" spans="1:12" ht="13.5" thickBot="1">
      <c r="A22" s="725"/>
      <c r="B22" s="726"/>
      <c r="C22" s="300"/>
      <c r="D22" s="301"/>
      <c r="E22" s="299"/>
      <c r="F22" s="299"/>
      <c r="G22" s="465"/>
      <c r="H22" s="472"/>
      <c r="I22" s="722"/>
      <c r="J22" s="723"/>
      <c r="K22" s="724"/>
      <c r="L22" s="472"/>
    </row>
    <row r="23" spans="1:12" ht="13.5" thickBot="1">
      <c r="A23" s="725"/>
      <c r="B23" s="726"/>
      <c r="C23" s="300"/>
      <c r="D23" s="301"/>
      <c r="E23" s="299"/>
      <c r="F23" s="299"/>
      <c r="G23" s="465"/>
      <c r="H23" s="475"/>
      <c r="I23" s="727"/>
      <c r="J23" s="728"/>
      <c r="K23" s="729"/>
      <c r="L23" s="475"/>
    </row>
    <row r="24" spans="1:12" ht="13.5" thickBot="1">
      <c r="A24" s="725"/>
      <c r="B24" s="726"/>
      <c r="C24" s="300"/>
      <c r="D24" s="301"/>
      <c r="E24" s="299"/>
      <c r="F24" s="299"/>
      <c r="G24" s="465"/>
      <c r="H24" s="475"/>
      <c r="I24" s="727"/>
      <c r="J24" s="728"/>
      <c r="K24" s="729"/>
      <c r="L24" s="475"/>
    </row>
    <row r="25" spans="1:12" ht="13.5" thickBot="1">
      <c r="A25" s="725"/>
      <c r="B25" s="726"/>
      <c r="C25" s="300"/>
      <c r="D25" s="301"/>
      <c r="E25" s="299"/>
      <c r="F25" s="299"/>
      <c r="G25" s="465"/>
      <c r="H25" s="474"/>
      <c r="I25" s="736"/>
      <c r="J25" s="737"/>
      <c r="K25" s="738"/>
      <c r="L25" s="474"/>
    </row>
    <row r="26" spans="1:12" ht="13.5" thickBot="1">
      <c r="A26" s="725"/>
      <c r="B26" s="726"/>
      <c r="C26" s="300"/>
      <c r="D26" s="301"/>
      <c r="E26" s="299"/>
      <c r="F26" s="299"/>
      <c r="G26" s="465"/>
      <c r="H26" s="475"/>
      <c r="I26" s="727"/>
      <c r="J26" s="728"/>
      <c r="K26" s="729"/>
      <c r="L26" s="475"/>
    </row>
    <row r="27" spans="1:12" ht="13.5" thickBot="1">
      <c r="A27" s="730" t="s">
        <v>208</v>
      </c>
      <c r="B27" s="731"/>
      <c r="C27" s="731"/>
      <c r="D27" s="731"/>
      <c r="E27" s="731"/>
      <c r="F27" s="731"/>
      <c r="G27" s="732"/>
      <c r="H27" s="298">
        <f>SUM(H10:H26)</f>
        <v>0</v>
      </c>
      <c r="I27" s="733">
        <v>0</v>
      </c>
      <c r="J27" s="734"/>
      <c r="K27" s="735"/>
      <c r="L27" s="298">
        <f>SUM(L10:L26)</f>
        <v>650000</v>
      </c>
    </row>
    <row r="30" ht="12.75">
      <c r="N30" s="303"/>
    </row>
    <row r="32" ht="12.75">
      <c r="D32" s="477"/>
    </row>
  </sheetData>
  <sheetProtection/>
  <mergeCells count="53">
    <mergeCell ref="A1:L2"/>
    <mergeCell ref="A3:L3"/>
    <mergeCell ref="A4:L4"/>
    <mergeCell ref="A5:L5"/>
    <mergeCell ref="I11:K11"/>
    <mergeCell ref="L8:L9"/>
    <mergeCell ref="F8:F9"/>
    <mergeCell ref="H7:L7"/>
    <mergeCell ref="D8:D9"/>
    <mergeCell ref="H8:H9"/>
    <mergeCell ref="A19:B19"/>
    <mergeCell ref="I19:K19"/>
    <mergeCell ref="A16:B16"/>
    <mergeCell ref="I16:K16"/>
    <mergeCell ref="A17:B17"/>
    <mergeCell ref="I17:K17"/>
    <mergeCell ref="I18:K18"/>
    <mergeCell ref="A18:B18"/>
    <mergeCell ref="A15:B15"/>
    <mergeCell ref="I15:K15"/>
    <mergeCell ref="A6:L6"/>
    <mergeCell ref="A7:B7"/>
    <mergeCell ref="E7:G7"/>
    <mergeCell ref="A10:B10"/>
    <mergeCell ref="I10:K10"/>
    <mergeCell ref="E8:E9"/>
    <mergeCell ref="A8:B9"/>
    <mergeCell ref="C8:C9"/>
    <mergeCell ref="A12:B12"/>
    <mergeCell ref="I12:K12"/>
    <mergeCell ref="A13:B13"/>
    <mergeCell ref="I13:K13"/>
    <mergeCell ref="A14:B14"/>
    <mergeCell ref="I14:K14"/>
    <mergeCell ref="G8:G9"/>
    <mergeCell ref="I8:K9"/>
    <mergeCell ref="A11:B11"/>
    <mergeCell ref="A23:B23"/>
    <mergeCell ref="I23:K23"/>
    <mergeCell ref="A20:B20"/>
    <mergeCell ref="I20:K20"/>
    <mergeCell ref="A21:B21"/>
    <mergeCell ref="I21:K21"/>
    <mergeCell ref="A22:B22"/>
    <mergeCell ref="I22:K22"/>
    <mergeCell ref="A24:B24"/>
    <mergeCell ref="I24:K24"/>
    <mergeCell ref="A27:G27"/>
    <mergeCell ref="I27:K27"/>
    <mergeCell ref="A25:B25"/>
    <mergeCell ref="I25:K25"/>
    <mergeCell ref="A26:B26"/>
    <mergeCell ref="I26:K26"/>
  </mergeCells>
  <printOptions/>
  <pageMargins left="0.34" right="0.17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U299"/>
  <sheetViews>
    <sheetView zoomScale="75" zoomScaleNormal="75" zoomScaleSheetLayoutView="30" workbookViewId="0" topLeftCell="A1">
      <selection activeCell="E136" sqref="E136"/>
    </sheetView>
  </sheetViews>
  <sheetFormatPr defaultColWidth="19.140625" defaultRowHeight="12.75"/>
  <cols>
    <col min="1" max="1" width="27.7109375" style="4" customWidth="1"/>
    <col min="2" max="2" width="53.57421875" style="4" customWidth="1"/>
    <col min="3" max="6" width="20.7109375" style="4" customWidth="1"/>
    <col min="7" max="7" width="22.421875" style="4" customWidth="1"/>
    <col min="8" max="8" width="22.8515625" style="4" customWidth="1"/>
    <col min="9" max="9" width="23.00390625" style="4" customWidth="1"/>
    <col min="10" max="177" width="19.140625" style="106" customWidth="1"/>
    <col min="178" max="16384" width="19.140625" style="4" customWidth="1"/>
  </cols>
  <sheetData>
    <row r="1" spans="1:177" s="2" customFormat="1" ht="17.25" customHeight="1">
      <c r="A1" s="489" t="str">
        <f>Parâmetros!A7</f>
        <v>Município de Barra do Quaraí</v>
      </c>
      <c r="B1" s="490"/>
      <c r="C1" s="490"/>
      <c r="D1" s="490"/>
      <c r="E1" s="490"/>
      <c r="F1" s="490"/>
      <c r="G1" s="490"/>
      <c r="H1" s="490"/>
      <c r="I1" s="490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</row>
    <row r="2" spans="1:177" s="2" customFormat="1" ht="30" customHeight="1">
      <c r="A2" s="491" t="str">
        <f>Parâmetros!A8</f>
        <v>LEI DE DIRETRIZES ORÇAMENTÁRIAS  PARA 2019</v>
      </c>
      <c r="B2" s="490"/>
      <c r="C2" s="490"/>
      <c r="D2" s="490"/>
      <c r="E2" s="490"/>
      <c r="F2" s="490"/>
      <c r="G2" s="490"/>
      <c r="H2" s="490"/>
      <c r="I2" s="490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</row>
    <row r="3" spans="1:177" s="2" customFormat="1" ht="19.5" customHeight="1">
      <c r="A3" s="492" t="s">
        <v>498</v>
      </c>
      <c r="B3" s="490"/>
      <c r="C3" s="490"/>
      <c r="D3" s="490"/>
      <c r="E3" s="490"/>
      <c r="F3" s="490"/>
      <c r="G3" s="490"/>
      <c r="H3" s="490"/>
      <c r="I3" s="490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</row>
    <row r="4" spans="1:177" s="2" customFormat="1" ht="15.75" hidden="1">
      <c r="A4" s="15"/>
      <c r="B4" s="16"/>
      <c r="C4" s="16"/>
      <c r="D4" s="16"/>
      <c r="E4" s="16"/>
      <c r="F4" s="16"/>
      <c r="G4" s="16"/>
      <c r="H4" s="16"/>
      <c r="I4" s="16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</row>
    <row r="5" spans="1:177" s="2" customFormat="1" ht="15.75">
      <c r="A5" s="17"/>
      <c r="B5" s="18"/>
      <c r="C5" s="18"/>
      <c r="D5" s="18"/>
      <c r="E5" s="18"/>
      <c r="F5" s="18"/>
      <c r="G5" s="18"/>
      <c r="H5" s="18"/>
      <c r="I5" s="19" t="s">
        <v>55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</row>
    <row r="6" spans="1:177" s="1" customFormat="1" ht="15.75">
      <c r="A6" s="227"/>
      <c r="B6" s="228" t="s">
        <v>0</v>
      </c>
      <c r="C6" s="229" t="s">
        <v>220</v>
      </c>
      <c r="D6" s="229" t="s">
        <v>220</v>
      </c>
      <c r="E6" s="229" t="s">
        <v>220</v>
      </c>
      <c r="F6" s="230" t="s">
        <v>130</v>
      </c>
      <c r="G6" s="230" t="s">
        <v>12</v>
      </c>
      <c r="H6" s="231" t="s">
        <v>12</v>
      </c>
      <c r="I6" s="232" t="s">
        <v>12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</row>
    <row r="7" spans="1:177" s="1" customFormat="1" ht="27.75" customHeight="1">
      <c r="A7" s="233"/>
      <c r="B7" s="234" t="s">
        <v>8</v>
      </c>
      <c r="C7" s="235">
        <f>Parâmetros!B10-1</f>
        <v>2015</v>
      </c>
      <c r="D7" s="236">
        <f aca="true" t="shared" si="0" ref="D7:I7">C7+1</f>
        <v>2016</v>
      </c>
      <c r="E7" s="236">
        <f t="shared" si="0"/>
        <v>2017</v>
      </c>
      <c r="F7" s="236">
        <f t="shared" si="0"/>
        <v>2018</v>
      </c>
      <c r="G7" s="236">
        <f t="shared" si="0"/>
        <v>2019</v>
      </c>
      <c r="H7" s="236">
        <f t="shared" si="0"/>
        <v>2020</v>
      </c>
      <c r="I7" s="236">
        <f t="shared" si="0"/>
        <v>2021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</row>
    <row r="8" spans="1:177" s="89" customFormat="1" ht="17.25" customHeight="1">
      <c r="A8" s="237" t="s">
        <v>221</v>
      </c>
      <c r="B8" s="238" t="s">
        <v>222</v>
      </c>
      <c r="C8" s="239">
        <f aca="true" t="shared" si="1" ref="C8:I8">C9+C15+C23+C34+C35+C36+C39+C66</f>
        <v>20015236.959999997</v>
      </c>
      <c r="D8" s="239">
        <f t="shared" si="1"/>
        <v>21704738.29</v>
      </c>
      <c r="E8" s="239">
        <f t="shared" si="1"/>
        <v>22604625.620000005</v>
      </c>
      <c r="F8" s="239">
        <f t="shared" si="1"/>
        <v>24433104.37</v>
      </c>
      <c r="G8" s="239">
        <f t="shared" si="1"/>
        <v>26612923.217900816</v>
      </c>
      <c r="H8" s="239">
        <f t="shared" si="1"/>
        <v>29305904.906084433</v>
      </c>
      <c r="I8" s="239">
        <f t="shared" si="1"/>
        <v>32380728.174172025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</row>
    <row r="9" spans="1:177" s="8" customFormat="1" ht="12.75">
      <c r="A9" s="240" t="s">
        <v>223</v>
      </c>
      <c r="B9" s="241" t="s">
        <v>224</v>
      </c>
      <c r="C9" s="242">
        <f aca="true" t="shared" si="2" ref="C9:I9">C10+C11+C12+C13+C14</f>
        <v>995747.3300000001</v>
      </c>
      <c r="D9" s="242">
        <f t="shared" si="2"/>
        <v>715289.63</v>
      </c>
      <c r="E9" s="242">
        <f t="shared" si="2"/>
        <v>1244231.7200000002</v>
      </c>
      <c r="F9" s="242">
        <f t="shared" si="2"/>
        <v>1134802.02</v>
      </c>
      <c r="G9" s="242">
        <f t="shared" si="2"/>
        <v>1551828.760990532</v>
      </c>
      <c r="H9" s="242">
        <f t="shared" si="2"/>
        <v>2330893.009019773</v>
      </c>
      <c r="I9" s="242">
        <f t="shared" si="2"/>
        <v>3223948.5507910606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</row>
    <row r="10" spans="1:177" s="8" customFormat="1" ht="25.5">
      <c r="A10" s="243" t="s">
        <v>407</v>
      </c>
      <c r="B10" s="244" t="s">
        <v>410</v>
      </c>
      <c r="C10" s="86"/>
      <c r="D10" s="86">
        <v>0</v>
      </c>
      <c r="E10" s="86">
        <v>0</v>
      </c>
      <c r="F10" s="86">
        <v>0</v>
      </c>
      <c r="G10" s="245">
        <f>(((D10*(1+Parâmetros!B11)*(1+Parâmetros!C11)*(1+Parâmetros!D11))+(E10*(1+Parâmetros!C11)*(1+Parâmetros!D11)+(F10*(1+Parâmetros!D11))))/3)*(1+Parâmetros!E11)*(1+Parâmetros!E15)</f>
        <v>0</v>
      </c>
      <c r="H10" s="245">
        <f>G10*(1+Parâmetros!F11)*(1+Parâmetros!F15)</f>
        <v>0</v>
      </c>
      <c r="I10" s="245">
        <f>H10*(1+Parâmetros!G11)*(1+Parâmetros!G15)</f>
        <v>0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</row>
    <row r="11" spans="1:177" s="8" customFormat="1" ht="25.5">
      <c r="A11" s="243" t="s">
        <v>408</v>
      </c>
      <c r="B11" s="244" t="s">
        <v>411</v>
      </c>
      <c r="C11" s="86">
        <v>0</v>
      </c>
      <c r="D11" s="86">
        <v>0</v>
      </c>
      <c r="E11" s="86">
        <v>0</v>
      </c>
      <c r="F11" s="86">
        <v>0</v>
      </c>
      <c r="G11" s="245">
        <f>(((D11*(1+Parâmetros!B11)*(1+Parâmetros!C11)*(1+Parâmetros!D11))+(E11*(1+Parâmetros!C11)*(1+Parâmetros!D11)+(F11*(1+Parâmetros!D11))))/3)*(1+Parâmetros!E11)*(1+Parâmetros!E15)</f>
        <v>0</v>
      </c>
      <c r="H11" s="245">
        <f>G11*(1+Parâmetros!F11)*(1+Parâmetros!F15)</f>
        <v>0</v>
      </c>
      <c r="I11" s="245">
        <f>H11*(1+Parâmetros!G11)*(1+Parâmetros!G15)</f>
        <v>0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</row>
    <row r="12" spans="1:177" s="8" customFormat="1" ht="12.75">
      <c r="A12" s="243" t="s">
        <v>225</v>
      </c>
      <c r="B12" s="244" t="s">
        <v>409</v>
      </c>
      <c r="C12" s="86">
        <v>899424.52</v>
      </c>
      <c r="D12" s="86">
        <v>625992.26</v>
      </c>
      <c r="E12" s="86">
        <v>1142165.09</v>
      </c>
      <c r="F12" s="86">
        <v>925228.45</v>
      </c>
      <c r="G12" s="245">
        <f>(((D12*(1+Parâmetros!B11)*(1+Parâmetros!C11)*(1+Parâmetros!D11))+(E12*(1+Parâmetros!C11)*(1+Parâmetros!D11)+(F12*(1+Parâmetros!D11))))/3)*(1+Parâmetros!E11)*(1+Parâmetros!E15)</f>
        <v>1351732.0126841096</v>
      </c>
      <c r="H12" s="245">
        <f>G12*(1+Parâmetros!F11)*(1+Parâmetros!F15)</f>
        <v>2030341.7346270212</v>
      </c>
      <c r="I12" s="245">
        <f>H12*(1+Parâmetros!G11)*(1+Parâmetros!G15)</f>
        <v>2808244.422902152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</row>
    <row r="13" spans="1:177" s="8" customFormat="1" ht="12" customHeight="1">
      <c r="A13" s="243" t="s">
        <v>226</v>
      </c>
      <c r="B13" s="244" t="s">
        <v>227</v>
      </c>
      <c r="C13" s="86">
        <v>96322.81</v>
      </c>
      <c r="D13" s="86">
        <v>89297.37</v>
      </c>
      <c r="E13" s="86">
        <v>102066.63</v>
      </c>
      <c r="F13" s="86">
        <v>209573.57</v>
      </c>
      <c r="G13" s="245">
        <f>(((D13*(1+Parâmetros!B11)*(1+Parâmetros!C11)*(1+Parâmetros!D11))+(E13*(1+Parâmetros!C11)*(1+Parâmetros!D11)+(F13*(1+Parâmetros!D11))))/3)*(1+Parâmetros!E11)*(1+Parâmetros!E15)</f>
        <v>200096.74830642258</v>
      </c>
      <c r="H13" s="245">
        <f>G13*(1+Parâmetros!F11)*(1+Parâmetros!F15)</f>
        <v>300551.2743927518</v>
      </c>
      <c r="I13" s="245">
        <f>H13*(1+Parâmetros!G11)*(1+Parâmetros!G15)</f>
        <v>415704.12788890855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</row>
    <row r="14" spans="1:177" s="8" customFormat="1" ht="12.75">
      <c r="A14" s="243" t="s">
        <v>228</v>
      </c>
      <c r="B14" s="244" t="s">
        <v>229</v>
      </c>
      <c r="C14" s="86">
        <v>0</v>
      </c>
      <c r="D14" s="86">
        <v>0</v>
      </c>
      <c r="E14" s="86">
        <v>0</v>
      </c>
      <c r="F14" s="86">
        <v>0</v>
      </c>
      <c r="G14" s="245">
        <f>(((D14*(1+Parâmetros!B11)*(1+Parâmetros!C11)*(1+Parâmetros!D11))+(E14*(1+Parâmetros!C11)*(1+Parâmetros!D11)+(F14*(1+Parâmetros!D11))))/3)*(1+Parâmetros!E11)*(1+Parâmetros!E15)</f>
        <v>0</v>
      </c>
      <c r="H14" s="245">
        <f>G14*(1+Parâmetros!F11)*(1+Parâmetros!F15)</f>
        <v>0</v>
      </c>
      <c r="I14" s="245">
        <f>H14*(1+Parâmetros!G11)*(1+Parâmetros!G15)</f>
        <v>0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</row>
    <row r="15" spans="1:177" ht="12.75">
      <c r="A15" s="240" t="s">
        <v>230</v>
      </c>
      <c r="B15" s="241" t="s">
        <v>231</v>
      </c>
      <c r="C15" s="242">
        <f aca="true" t="shared" si="3" ref="C15:I15">C16+C21+C22</f>
        <v>34397.73</v>
      </c>
      <c r="D15" s="242">
        <f t="shared" si="3"/>
        <v>46453.77</v>
      </c>
      <c r="E15" s="242">
        <f t="shared" si="3"/>
        <v>36129.42</v>
      </c>
      <c r="F15" s="242">
        <f t="shared" si="3"/>
        <v>47007.95</v>
      </c>
      <c r="G15" s="242">
        <f t="shared" si="3"/>
        <v>47315.32000630942</v>
      </c>
      <c r="H15" s="242">
        <f t="shared" si="3"/>
        <v>49347.51300058041</v>
      </c>
      <c r="I15" s="242">
        <f t="shared" si="3"/>
        <v>51592.82484210682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</row>
    <row r="16" spans="1:177" ht="12.75">
      <c r="A16" s="240" t="s">
        <v>232</v>
      </c>
      <c r="B16" s="241" t="s">
        <v>233</v>
      </c>
      <c r="C16" s="242">
        <f aca="true" t="shared" si="4" ref="C16:I16">C17+C18+C19+C20</f>
        <v>0</v>
      </c>
      <c r="D16" s="242">
        <f t="shared" si="4"/>
        <v>0</v>
      </c>
      <c r="E16" s="242">
        <f t="shared" si="4"/>
        <v>0</v>
      </c>
      <c r="F16" s="242">
        <f t="shared" si="4"/>
        <v>0</v>
      </c>
      <c r="G16" s="242">
        <f t="shared" si="4"/>
        <v>0</v>
      </c>
      <c r="H16" s="242">
        <f t="shared" si="4"/>
        <v>0</v>
      </c>
      <c r="I16" s="242">
        <f t="shared" si="4"/>
        <v>0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</row>
    <row r="17" spans="1:177" ht="25.5">
      <c r="A17" s="243" t="s">
        <v>234</v>
      </c>
      <c r="B17" s="244" t="s">
        <v>394</v>
      </c>
      <c r="C17" s="86">
        <v>0</v>
      </c>
      <c r="D17" s="86">
        <v>0</v>
      </c>
      <c r="E17" s="86">
        <v>0</v>
      </c>
      <c r="F17" s="86">
        <v>0</v>
      </c>
      <c r="G17" s="245">
        <f>(((D17*(1+Parâmetros!B11)*(1+Parâmetros!C11)*(1+Parâmetros!D11))+(E17*(1+Parâmetros!C11)*(1+Parâmetros!D11)+(F17*(1+Parâmetros!D11))))/3)*(1+Parâmetros!E11)*(1+Parâmetros!E13)*(1+Parâmetros!E18)</f>
        <v>0</v>
      </c>
      <c r="H17" s="245">
        <f>G17*(1+Parâmetros!F11)*(1+Parâmetros!F13)*(1+Parâmetros!F18)</f>
        <v>0</v>
      </c>
      <c r="I17" s="245">
        <f>H17*(1+Parâmetros!G11)*(1+Parâmetros!G13)*(1+Parâmetros!G18)</f>
        <v>0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</row>
    <row r="18" spans="1:177" ht="12.75">
      <c r="A18" s="243" t="s">
        <v>235</v>
      </c>
      <c r="B18" s="244" t="s">
        <v>236</v>
      </c>
      <c r="C18" s="86">
        <v>0</v>
      </c>
      <c r="D18" s="86">
        <v>0</v>
      </c>
      <c r="E18" s="86">
        <v>0</v>
      </c>
      <c r="F18" s="86">
        <v>0</v>
      </c>
      <c r="G18" s="245">
        <f>(((D18*(1+Parâmetros!B11)*(1+Parâmetros!C11)*(1+Parâmetros!D11))+(E18*(1+Parâmetros!C11)*(1+Parâmetros!D11)+(F18*(1+Parâmetros!D11))))/3)*(1+Parâmetros!E11)</f>
        <v>0</v>
      </c>
      <c r="H18" s="245">
        <f>G18*(1+Parâmetros!F11)</f>
        <v>0</v>
      </c>
      <c r="I18" s="245">
        <f>H18*(1+Parâmetros!G11)</f>
        <v>0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</row>
    <row r="19" spans="1:177" ht="12.75">
      <c r="A19" s="243" t="s">
        <v>237</v>
      </c>
      <c r="B19" s="244" t="s">
        <v>238</v>
      </c>
      <c r="C19" s="86">
        <v>0</v>
      </c>
      <c r="D19" s="86">
        <v>0</v>
      </c>
      <c r="E19" s="86">
        <v>0</v>
      </c>
      <c r="F19" s="86">
        <v>0</v>
      </c>
      <c r="G19" s="245">
        <f>(((D19*(1+Parâmetros!B11)*(1+Parâmetros!C11)*(1+Parâmetros!D11))+(E19*(1+Parâmetros!C11)*(1+Parâmetros!D11)+(F19*(1+Parâmetros!D11))))/3)*(1+Parâmetros!E11)</f>
        <v>0</v>
      </c>
      <c r="H19" s="245">
        <f>G19*(1+Parâmetros!F11)</f>
        <v>0</v>
      </c>
      <c r="I19" s="245">
        <f>H19*(1+Parâmetros!G11)</f>
        <v>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</row>
    <row r="20" spans="1:177" ht="25.5">
      <c r="A20" s="243" t="s">
        <v>239</v>
      </c>
      <c r="B20" s="244" t="s">
        <v>240</v>
      </c>
      <c r="C20" s="86">
        <v>0</v>
      </c>
      <c r="D20" s="86">
        <v>0</v>
      </c>
      <c r="E20" s="86">
        <v>0</v>
      </c>
      <c r="F20" s="86">
        <v>0</v>
      </c>
      <c r="G20" s="245">
        <f>(((D20*(1+Parâmetros!B11)*(1+Parâmetros!C11)*(1+Parâmetros!D11))+(E20*(1+Parâmetros!C11)*(1+Parâmetros!D11)+(F20*(1+Parâmetros!D11))))/3)*(1+Parâmetros!E11)</f>
        <v>0</v>
      </c>
      <c r="H20" s="245">
        <f>G20*(1+Parâmetros!F11)</f>
        <v>0</v>
      </c>
      <c r="I20" s="245">
        <f>H20*(1+Parâmetros!G11)</f>
        <v>0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</row>
    <row r="21" spans="1:177" s="8" customFormat="1" ht="12.75">
      <c r="A21" s="243" t="s">
        <v>241</v>
      </c>
      <c r="B21" s="244" t="s">
        <v>242</v>
      </c>
      <c r="C21" s="86">
        <v>0</v>
      </c>
      <c r="D21" s="86">
        <v>0</v>
      </c>
      <c r="E21" s="86">
        <v>0</v>
      </c>
      <c r="F21" s="86">
        <v>0</v>
      </c>
      <c r="G21" s="245">
        <f>(((D21*(1+Parâmetros!B11)*(1+Parâmetros!C11)*(1+Parâmetros!D11))+(E21*(1+Parâmetros!C11)*(1+Parâmetros!D11)+(F21*(1+Parâmetros!D11))))/3)*(1+Parâmetros!E11)</f>
        <v>0</v>
      </c>
      <c r="H21" s="245">
        <f>G21*(1+Parâmetros!F11)</f>
        <v>0</v>
      </c>
      <c r="I21" s="245">
        <f>H21*(1+Parâmetros!G11)</f>
        <v>0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</row>
    <row r="22" spans="1:177" s="8" customFormat="1" ht="12.75">
      <c r="A22" s="243" t="s">
        <v>243</v>
      </c>
      <c r="B22" s="244" t="s">
        <v>244</v>
      </c>
      <c r="C22" s="86">
        <v>34397.73</v>
      </c>
      <c r="D22" s="86">
        <v>46453.77</v>
      </c>
      <c r="E22" s="86">
        <v>36129.42</v>
      </c>
      <c r="F22" s="86">
        <v>47007.95</v>
      </c>
      <c r="G22" s="245">
        <f>(((D22*(1+Parâmetros!B11)*(1+Parâmetros!C11)*(1+Parâmetros!D11))+(E22*(1+Parâmetros!C11)*(1+Parâmetros!D11)+(F22*(1+Parâmetros!D11))))/3)*(1+Parâmetros!E11)*(1+Parâmetros!E12)</f>
        <v>47315.32000630942</v>
      </c>
      <c r="H22" s="245">
        <f>G22*(1+Parâmetros!F11)*(1+Parâmetros!F12)</f>
        <v>49347.51300058041</v>
      </c>
      <c r="I22" s="245">
        <f>H22*(1+Parâmetros!G11)*(1+Parâmetros!G12)</f>
        <v>51592.82484210682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</row>
    <row r="23" spans="1:177" s="8" customFormat="1" ht="12.75">
      <c r="A23" s="240" t="s">
        <v>245</v>
      </c>
      <c r="B23" s="241" t="s">
        <v>246</v>
      </c>
      <c r="C23" s="242">
        <f aca="true" t="shared" si="5" ref="C23:I23">C24+C25+C31+C32+C33</f>
        <v>102748.22</v>
      </c>
      <c r="D23" s="242">
        <f t="shared" si="5"/>
        <v>64698.65</v>
      </c>
      <c r="E23" s="242">
        <f t="shared" si="5"/>
        <v>34840.78</v>
      </c>
      <c r="F23" s="242">
        <f t="shared" si="5"/>
        <v>104039.37999999999</v>
      </c>
      <c r="G23" s="242">
        <f t="shared" si="5"/>
        <v>73890.92514753123</v>
      </c>
      <c r="H23" s="242">
        <f t="shared" si="5"/>
        <v>77064.5403826177</v>
      </c>
      <c r="I23" s="242">
        <f t="shared" si="5"/>
        <v>80570.97697002682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</row>
    <row r="24" spans="1:177" s="8" customFormat="1" ht="12.75">
      <c r="A24" s="243" t="s">
        <v>247</v>
      </c>
      <c r="B24" s="244" t="s">
        <v>248</v>
      </c>
      <c r="C24" s="86">
        <v>0</v>
      </c>
      <c r="D24" s="86">
        <v>0</v>
      </c>
      <c r="E24" s="86">
        <v>0</v>
      </c>
      <c r="F24" s="86">
        <v>0</v>
      </c>
      <c r="G24" s="245">
        <f>(((D24*(1+Parâmetros!B11)*(1+Parâmetros!C11)*(1+Parâmetros!D11))+(E24*(1+Parâmetros!C11)*(1+Parâmetros!D11)+(F24*(1+Parâmetros!D11))))/3)*(1+Parâmetros!E11)</f>
        <v>0</v>
      </c>
      <c r="H24" s="245">
        <f>G24*(1+Parâmetros!F11)</f>
        <v>0</v>
      </c>
      <c r="I24" s="245">
        <f>H24*(1+Parâmetros!G11)</f>
        <v>0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</row>
    <row r="25" spans="1:177" s="88" customFormat="1" ht="15.75">
      <c r="A25" s="240" t="s">
        <v>249</v>
      </c>
      <c r="B25" s="241" t="s">
        <v>250</v>
      </c>
      <c r="C25" s="242">
        <f aca="true" t="shared" si="6" ref="C25:I25">C26+C27+C28+C29+C30</f>
        <v>102748.22</v>
      </c>
      <c r="D25" s="242">
        <f t="shared" si="6"/>
        <v>64698.65</v>
      </c>
      <c r="E25" s="242">
        <f t="shared" si="6"/>
        <v>34840.78</v>
      </c>
      <c r="F25" s="242">
        <f t="shared" si="6"/>
        <v>104039.37999999999</v>
      </c>
      <c r="G25" s="242">
        <f t="shared" si="6"/>
        <v>73890.92514753123</v>
      </c>
      <c r="H25" s="242">
        <f t="shared" si="6"/>
        <v>77064.5403826177</v>
      </c>
      <c r="I25" s="242">
        <f t="shared" si="6"/>
        <v>80570.97697002682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</row>
    <row r="26" spans="1:177" ht="25.5">
      <c r="A26" s="243" t="s">
        <v>251</v>
      </c>
      <c r="B26" s="244" t="s">
        <v>252</v>
      </c>
      <c r="C26" s="86">
        <v>76221.93</v>
      </c>
      <c r="D26" s="86">
        <v>47344.04</v>
      </c>
      <c r="E26" s="86">
        <v>24467.39</v>
      </c>
      <c r="F26" s="86">
        <v>74610.26</v>
      </c>
      <c r="G26" s="245">
        <f>(((D26*(1+Parâmetros!B11)*(1+Parâmetros!C11)*(1+Parâmetros!D11))+(E26*(1+Parâmetros!C11)*(1+Parâmetros!D11)+(F26*(1+Parâmetros!D11))))/3)*(1+Parâmetros!E11)*(1+Parâmetros!E12)</f>
        <v>53159.28004144123</v>
      </c>
      <c r="H26" s="245">
        <f>G26*(1+Parâmetros!F11)*(1+Parâmetros!F12)</f>
        <v>55442.47111922113</v>
      </c>
      <c r="I26" s="245">
        <f>H26*(1+Parâmetros!G11)*(1+Parâmetros!G12)</f>
        <v>57965.103555145695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</row>
    <row r="27" spans="1:177" ht="25.5">
      <c r="A27" s="243" t="s">
        <v>253</v>
      </c>
      <c r="B27" s="244" t="s">
        <v>254</v>
      </c>
      <c r="C27" s="86">
        <v>26526.29</v>
      </c>
      <c r="D27" s="86">
        <v>17354.61</v>
      </c>
      <c r="E27" s="86">
        <v>10373.39</v>
      </c>
      <c r="F27" s="86">
        <v>29429.12</v>
      </c>
      <c r="G27" s="245">
        <f>(((D27*(1+Parâmetros!B11)*(1+Parâmetros!C11)*(1+Parâmetros!D11))+(E27*(1+Parâmetros!C11)*(1+Parâmetros!D11)+(F27*(1+Parâmetros!D11))))/3)*(1+Parâmetros!E11)*(1+Parâmetros!E12)</f>
        <v>20731.645106090014</v>
      </c>
      <c r="H27" s="245">
        <f>G27*(1+Parâmetros!F11)*(1+Parâmetros!F12)</f>
        <v>21622.06926339658</v>
      </c>
      <c r="I27" s="245">
        <f>H27*(1+Parâmetros!G11)*(1+Parâmetros!G12)</f>
        <v>22605.873414881124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</row>
    <row r="28" spans="1:177" ht="25.5">
      <c r="A28" s="243" t="s">
        <v>255</v>
      </c>
      <c r="B28" s="244" t="s">
        <v>256</v>
      </c>
      <c r="C28" s="86">
        <v>0</v>
      </c>
      <c r="D28" s="86">
        <v>0</v>
      </c>
      <c r="E28" s="86">
        <v>0</v>
      </c>
      <c r="F28" s="86">
        <v>0</v>
      </c>
      <c r="G28" s="245">
        <f>(((D28*(1+Parâmetros!B11)*(1+Parâmetros!C11)*(1+Parâmetros!D11))+(E28*(1+Parâmetros!C11)*(1+Parâmetros!D11)+(F28*(1+Parâmetros!D11))))/3)*(1+Parâmetros!E11)*(1+Parâmetros!E12)</f>
        <v>0</v>
      </c>
      <c r="H28" s="245">
        <f>G28*(1+Parâmetros!F11)*(1+Parâmetros!F12)</f>
        <v>0</v>
      </c>
      <c r="I28" s="245">
        <f>H28*(1+Parâmetros!G11)*(1+Parâmetros!G12)</f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</row>
    <row r="29" spans="1:177" ht="12.75">
      <c r="A29" s="243" t="s">
        <v>257</v>
      </c>
      <c r="B29" s="244" t="s">
        <v>258</v>
      </c>
      <c r="C29" s="86">
        <v>0</v>
      </c>
      <c r="D29" s="86">
        <v>0</v>
      </c>
      <c r="E29" s="86">
        <v>0</v>
      </c>
      <c r="F29" s="86">
        <v>0</v>
      </c>
      <c r="G29" s="245">
        <f>(((D29*(1+Parâmetros!B11)*(1+Parâmetros!C11)*(1+Parâmetros!D11))+(E29*(1+Parâmetros!C11)*(1+Parâmetros!D11)+(F29*(1+Parâmetros!D11))))/3)*(1+Parâmetros!E11)*(1+Parâmetros!E12)</f>
        <v>0</v>
      </c>
      <c r="H29" s="245">
        <f>G29*(1+Parâmetros!F11)*(1+Parâmetros!F12)</f>
        <v>0</v>
      </c>
      <c r="I29" s="245">
        <f>H29*(1+Parâmetros!G11)*(1+Parâmetros!G12)</f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</row>
    <row r="30" spans="1:177" ht="12.75">
      <c r="A30" s="243" t="s">
        <v>259</v>
      </c>
      <c r="B30" s="244" t="s">
        <v>260</v>
      </c>
      <c r="C30" s="86">
        <v>0</v>
      </c>
      <c r="D30" s="86">
        <v>0</v>
      </c>
      <c r="E30" s="86">
        <v>0</v>
      </c>
      <c r="F30" s="86">
        <v>0</v>
      </c>
      <c r="G30" s="245">
        <f>(((D30*(1+Parâmetros!B11)*(1+Parâmetros!C11)*(1+Parâmetros!D11))+(E30*(1+Parâmetros!C11)*(1+Parâmetros!D11)+(F30*(1+Parâmetros!D11))))/3)*(1+Parâmetros!E11)*(1+Parâmetros!E12)</f>
        <v>0</v>
      </c>
      <c r="H30" s="245">
        <f>G30*(1+Parâmetros!F11)*(1+Parâmetros!F12)</f>
        <v>0</v>
      </c>
      <c r="I30" s="245">
        <f>H30*(1+Parâmetros!G11)*(1+Parâmetros!G12)</f>
        <v>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</row>
    <row r="31" spans="1:177" ht="25.5">
      <c r="A31" s="243" t="s">
        <v>261</v>
      </c>
      <c r="B31" s="244" t="s">
        <v>262</v>
      </c>
      <c r="C31" s="86">
        <v>0</v>
      </c>
      <c r="D31" s="86">
        <v>0</v>
      </c>
      <c r="E31" s="86">
        <v>0</v>
      </c>
      <c r="F31" s="86">
        <v>0</v>
      </c>
      <c r="G31" s="245">
        <f>(((D31*(1+Parâmetros!B11)*(1+Parâmetros!C11)*(1+Parâmetros!D11))+(E31*(1+Parâmetros!C11)*(1+Parâmetros!D11)+(F31*(1+Parâmetros!D11))))/3)*(1+Parâmetros!E11)*(1+Parâmetros!E12)</f>
        <v>0</v>
      </c>
      <c r="H31" s="245">
        <f>G31*(1+Parâmetros!F11)*(1+Parâmetros!F12)</f>
        <v>0</v>
      </c>
      <c r="I31" s="245">
        <f>H31*(1+Parâmetros!G11)*(1+Parâmetros!G12)</f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</row>
    <row r="32" spans="1:177" ht="12.75">
      <c r="A32" s="243" t="s">
        <v>263</v>
      </c>
      <c r="B32" s="244" t="s">
        <v>264</v>
      </c>
      <c r="C32" s="86">
        <v>0</v>
      </c>
      <c r="D32" s="86">
        <v>0</v>
      </c>
      <c r="E32" s="86">
        <v>0</v>
      </c>
      <c r="F32" s="86">
        <v>0</v>
      </c>
      <c r="G32" s="245">
        <f>(((D32*(1+Parâmetros!B11)*(1+Parâmetros!C11)*(1+Parâmetros!D11))+(E32*(1+Parâmetros!C11)*(1+Parâmetros!D11)+(F32*(1+Parâmetros!D11))))/3)*(1+Parâmetros!E11)*(1+Parâmetros!E12)</f>
        <v>0</v>
      </c>
      <c r="H32" s="245">
        <f>G32*(1+Parâmetros!F11)*(1+Parâmetros!F12)</f>
        <v>0</v>
      </c>
      <c r="I32" s="245">
        <f>H32*(1+Parâmetros!G11)*(1+Parâmetros!G12)</f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</row>
    <row r="33" spans="1:177" ht="12.75">
      <c r="A33" s="243" t="s">
        <v>265</v>
      </c>
      <c r="B33" s="244" t="s">
        <v>266</v>
      </c>
      <c r="C33" s="86">
        <v>0</v>
      </c>
      <c r="D33" s="86">
        <v>0</v>
      </c>
      <c r="E33" s="86">
        <v>0</v>
      </c>
      <c r="F33" s="86">
        <v>0</v>
      </c>
      <c r="G33" s="245">
        <f>(((D33*(1+Parâmetros!B11)*(1+Parâmetros!C11)*(1+Parâmetros!D11))+(E33*(1+Parâmetros!C11)*(1+Parâmetros!D11)+(F33*(1+Parâmetros!D11))))/3)*(1+Parâmetros!E11)*(1+Parâmetros!E12)</f>
        <v>0</v>
      </c>
      <c r="H33" s="245">
        <f>G33*(1+Parâmetros!F11)*(1+Parâmetros!F12)</f>
        <v>0</v>
      </c>
      <c r="I33" s="245">
        <f>H33*(1+Parâmetros!G11)*(1+Parâmetros!G12)</f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</row>
    <row r="34" spans="1:177" ht="12.75">
      <c r="A34" s="243" t="s">
        <v>267</v>
      </c>
      <c r="B34" s="244" t="s">
        <v>268</v>
      </c>
      <c r="C34" s="86">
        <v>0</v>
      </c>
      <c r="D34" s="86">
        <v>0</v>
      </c>
      <c r="E34" s="86">
        <v>0</v>
      </c>
      <c r="F34" s="86">
        <v>0</v>
      </c>
      <c r="G34" s="245">
        <f>(((D34*(1+Parâmetros!B11)*(1+Parâmetros!C11)*(1+Parâmetros!D11))+(E34*(1+Parâmetros!C11)*(1+Parâmetros!D11)+(F34*(1+Parâmetros!D11))))/3)*(1+Parâmetros!E11)*(1+Parâmetros!E12)</f>
        <v>0</v>
      </c>
      <c r="H34" s="245">
        <f>G34*(1+Parâmetros!F11)*(1+Parâmetros!F12)</f>
        <v>0</v>
      </c>
      <c r="I34" s="245">
        <f>H34*(1+Parâmetros!G11)*(1+Parâmetros!G12)</f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</row>
    <row r="35" spans="1:177" ht="12.75">
      <c r="A35" s="243" t="s">
        <v>298</v>
      </c>
      <c r="B35" s="244" t="s">
        <v>299</v>
      </c>
      <c r="C35" s="86">
        <v>0</v>
      </c>
      <c r="D35" s="86">
        <v>0</v>
      </c>
      <c r="E35" s="86">
        <v>0</v>
      </c>
      <c r="F35" s="86">
        <v>0</v>
      </c>
      <c r="G35" s="245">
        <f>(((D35*(1+Parâmetros!B11)*(1+Parâmetros!C11)*(1+Parâmetros!D11))+(E35*(1+Parâmetros!C11)*(1+Parâmetros!D11)+(F35*(1+Parâmetros!D11))))/3)*(1+Parâmetros!E11)*(1+Parâmetros!E12)</f>
        <v>0</v>
      </c>
      <c r="H35" s="245">
        <f>G35*(1+Parâmetros!F11)*(1+Parâmetros!F12)</f>
        <v>0</v>
      </c>
      <c r="I35" s="245">
        <f>H35*(1+Parâmetros!G11)*(1+Parâmetros!G12)</f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</row>
    <row r="36" spans="1:177" s="7" customFormat="1" ht="12.75">
      <c r="A36" s="351" t="s">
        <v>539</v>
      </c>
      <c r="B36" s="352" t="s">
        <v>269</v>
      </c>
      <c r="C36" s="353">
        <f aca="true" t="shared" si="7" ref="C36:I36">C37+C38</f>
        <v>0</v>
      </c>
      <c r="D36" s="353">
        <f t="shared" si="7"/>
        <v>44715.69</v>
      </c>
      <c r="E36" s="353">
        <f t="shared" si="7"/>
        <v>0</v>
      </c>
      <c r="F36" s="353">
        <f t="shared" si="7"/>
        <v>0</v>
      </c>
      <c r="G36" s="353">
        <f t="shared" si="7"/>
        <v>16914.318843545843</v>
      </c>
      <c r="H36" s="353">
        <f t="shared" si="7"/>
        <v>17640.788837876138</v>
      </c>
      <c r="I36" s="353">
        <f t="shared" si="7"/>
        <v>18443.4447299995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</row>
    <row r="37" spans="1:177" ht="25.5">
      <c r="A37" s="354" t="s">
        <v>541</v>
      </c>
      <c r="B37" s="244" t="s">
        <v>542</v>
      </c>
      <c r="C37" s="86">
        <v>0</v>
      </c>
      <c r="D37" s="86">
        <v>0</v>
      </c>
      <c r="E37" s="86">
        <v>0</v>
      </c>
      <c r="F37" s="86">
        <v>0</v>
      </c>
      <c r="G37" s="242">
        <f>(((D37*(1+Parâmetros!B11)*(1+Parâmetros!C11)*(1+Parâmetros!D11))+(E37*(1+Parâmetros!C11)*(1+Parâmetros!D11)+(F37*(1+Parâmetros!D11))))/3)*(1+Parâmetros!E11)</f>
        <v>0</v>
      </c>
      <c r="H37" s="245">
        <f>G37*(1+Parâmetros!F11)</f>
        <v>0</v>
      </c>
      <c r="I37" s="245">
        <f>H37*(1+Parâmetros!G11)</f>
        <v>0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</row>
    <row r="38" spans="1:177" ht="12.75">
      <c r="A38" s="243" t="s">
        <v>539</v>
      </c>
      <c r="B38" s="244" t="s">
        <v>540</v>
      </c>
      <c r="C38" s="86">
        <v>0</v>
      </c>
      <c r="D38" s="86">
        <v>44715.69</v>
      </c>
      <c r="E38" s="86">
        <v>0</v>
      </c>
      <c r="F38" s="86">
        <v>0</v>
      </c>
      <c r="G38" s="242">
        <f>(((D38*(1+Parâmetros!B11)*(1+Parâmetros!C11)*(1+Parâmetros!D11))+(E38*(1+Parâmetros!C11)*(1+Parâmetros!D11)+(F38*(1+Parâmetros!D11))))/3)*(1+Parâmetros!E11)*(1+Parâmetros!E12)</f>
        <v>16914.318843545843</v>
      </c>
      <c r="H38" s="242">
        <f>G38*(1+Parâmetros!F11)*(1+Parâmetros!F12)</f>
        <v>17640.788837876138</v>
      </c>
      <c r="I38" s="242">
        <f>H38*(1+Parâmetros!G11)*(1+Parâmetros!G12)</f>
        <v>18443.4447299995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</row>
    <row r="39" spans="1:177" s="7" customFormat="1" ht="12.75">
      <c r="A39" s="240" t="s">
        <v>270</v>
      </c>
      <c r="B39" s="241" t="s">
        <v>271</v>
      </c>
      <c r="C39" s="242">
        <f aca="true" t="shared" si="8" ref="C39:I39">C40+C51+C61+C62+C63+C64+C65</f>
        <v>18135594.229999997</v>
      </c>
      <c r="D39" s="242">
        <f t="shared" si="8"/>
        <v>20342444.18</v>
      </c>
      <c r="E39" s="242">
        <f t="shared" si="8"/>
        <v>20786546.94</v>
      </c>
      <c r="F39" s="242">
        <f t="shared" si="8"/>
        <v>22404303.44</v>
      </c>
      <c r="G39" s="242">
        <f t="shared" si="8"/>
        <v>24298445.548444934</v>
      </c>
      <c r="H39" s="242">
        <f t="shared" si="8"/>
        <v>26192378.822625093</v>
      </c>
      <c r="I39" s="242">
        <f t="shared" si="8"/>
        <v>28351627.638814878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</row>
    <row r="40" spans="1:177" s="7" customFormat="1" ht="12.75">
      <c r="A40" s="240" t="s">
        <v>272</v>
      </c>
      <c r="B40" s="241" t="s">
        <v>273</v>
      </c>
      <c r="C40" s="242">
        <f aca="true" t="shared" si="9" ref="C40:I40">C41+C42+C43+C44+C45+C46+C47+C48+C49+C50</f>
        <v>8872591.29</v>
      </c>
      <c r="D40" s="242">
        <f t="shared" si="9"/>
        <v>10123017.149999999</v>
      </c>
      <c r="E40" s="242">
        <f t="shared" si="9"/>
        <v>9928227.03</v>
      </c>
      <c r="F40" s="242">
        <f t="shared" si="9"/>
        <v>11003020.870000001</v>
      </c>
      <c r="G40" s="242">
        <f t="shared" si="9"/>
        <v>11906176.780510135</v>
      </c>
      <c r="H40" s="242">
        <f t="shared" si="9"/>
        <v>12891837.06932418</v>
      </c>
      <c r="I40" s="242">
        <f t="shared" si="9"/>
        <v>14021602.247692566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</row>
    <row r="41" spans="1:177" ht="25.5">
      <c r="A41" s="243" t="s">
        <v>274</v>
      </c>
      <c r="B41" s="244" t="s">
        <v>275</v>
      </c>
      <c r="C41" s="86">
        <v>6707087.39</v>
      </c>
      <c r="D41" s="86">
        <v>7496227.89</v>
      </c>
      <c r="E41" s="86">
        <v>7543934.69</v>
      </c>
      <c r="F41" s="86">
        <v>8733373.75</v>
      </c>
      <c r="G41" s="245">
        <f>(((D41*(1+Parâmetros!B11)*(1+Parâmetros!C11)*(1+Parâmetros!D11))+(E41*(1+Parâmetros!C11)*(1+Parâmetros!D11)+(F41*(1+Parâmetros!D11))))/3)*(1+Parâmetros!E11)*(1+Parâmetros!E16)</f>
        <v>9206089.291191978</v>
      </c>
      <c r="H41" s="245">
        <f>G41*(1+Parâmetros!F11)*(1+Parâmetros!F16)</f>
        <v>10063784.82899398</v>
      </c>
      <c r="I41" s="245">
        <f>H41*(1+Parâmetros!G11)*(1+Parâmetros!G16)</f>
        <v>11047236.519121844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</row>
    <row r="42" spans="1:177" ht="25.5">
      <c r="A42" s="243" t="s">
        <v>276</v>
      </c>
      <c r="B42" s="244" t="s">
        <v>277</v>
      </c>
      <c r="C42" s="86">
        <v>0</v>
      </c>
      <c r="D42" s="86">
        <v>0</v>
      </c>
      <c r="E42" s="86">
        <v>0</v>
      </c>
      <c r="F42" s="86">
        <v>20060</v>
      </c>
      <c r="G42" s="245">
        <f>(((D42*(1+Parâmetros!B11)*(1+Parâmetros!C11)*(1+Parâmetros!D11))+(E42*(1+Parâmetros!C11)*(1+Parâmetros!D11)+(F42*(1+Parâmetros!D11))))/3)*(1+Parâmetros!E11)*(1+Parâmetros!E16)</f>
        <v>7528.342969813334</v>
      </c>
      <c r="H42" s="245">
        <f>G42*(1+Parâmetros!F11)*(1+Parâmetros!F16)</f>
        <v>8229.729407421515</v>
      </c>
      <c r="I42" s="245">
        <f>H42*(1+Parâmetros!G11)*(1+Parâmetros!G16)</f>
        <v>9033.953805354387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</row>
    <row r="43" spans="1:177" ht="25.5">
      <c r="A43" s="243" t="s">
        <v>278</v>
      </c>
      <c r="B43" s="244" t="s">
        <v>279</v>
      </c>
      <c r="C43" s="86">
        <v>0</v>
      </c>
      <c r="D43" s="86">
        <v>0</v>
      </c>
      <c r="E43" s="86">
        <v>0</v>
      </c>
      <c r="F43" s="86">
        <v>80000</v>
      </c>
      <c r="G43" s="245">
        <f>(((D43*(1+Parâmetros!B11)*(1+Parâmetros!C11)*(1+Parâmetros!D11))+(E43*(1+Parâmetros!C11)*(1+Parâmetros!D11)+(F43*(1+Parâmetros!D11))))/3)*(1+Parâmetros!E11)*(1+Parâmetros!E16)</f>
        <v>30023.301973333335</v>
      </c>
      <c r="H43" s="245">
        <f>G43*(1+Parâmetros!F11)*(1+Parâmetros!F16)</f>
        <v>32820.456260903346</v>
      </c>
      <c r="I43" s="245">
        <f>H43*(1+Parâmetros!G11)*(1+Parâmetros!G16)</f>
        <v>36027.732025341524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</row>
    <row r="44" spans="1:177" ht="12.75">
      <c r="A44" s="243" t="s">
        <v>280</v>
      </c>
      <c r="B44" s="244" t="s">
        <v>281</v>
      </c>
      <c r="C44" s="86">
        <v>735225.81</v>
      </c>
      <c r="D44" s="86">
        <v>766414.27</v>
      </c>
      <c r="E44" s="86">
        <v>815792.22</v>
      </c>
      <c r="F44" s="86">
        <v>390715.91</v>
      </c>
      <c r="G44" s="245">
        <f>(((D44*(1+Parâmetros!B11)*(1+Parâmetros!C11)*(1+Parâmetros!D11))+(E44*(1+Parâmetros!C11)*(1+Parâmetros!D11)+(F44*(1+Parâmetros!D11))))/3)*(1+Parâmetros!E11)*(1+Parâmetros!E16)</f>
        <v>769963.4501785826</v>
      </c>
      <c r="H44" s="245">
        <f>G44*(1+Parâmetros!F11)*(1+Parâmetros!F16)</f>
        <v>841697.9505294148</v>
      </c>
      <c r="I44" s="245">
        <f>H44*(1+Parâmetros!G11)*(1+Parâmetros!G16)</f>
        <v>923950.2329550575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</row>
    <row r="45" spans="1:177" ht="25.5">
      <c r="A45" s="243" t="s">
        <v>282</v>
      </c>
      <c r="B45" s="244" t="s">
        <v>283</v>
      </c>
      <c r="C45" s="86">
        <v>71237.28</v>
      </c>
      <c r="D45" s="86">
        <v>61102.78</v>
      </c>
      <c r="E45" s="86">
        <v>80370.61</v>
      </c>
      <c r="F45" s="86">
        <v>92838.37</v>
      </c>
      <c r="G45" s="245">
        <f>(((D45*(1+Parâmetros!B11)*(1+Parâmetros!C11)*(1+Parâmetros!D11))+(E45*(1+Parâmetros!C11)*(1+Parâmetros!D11)+(F45*(1+Parâmetros!D11))))/3)*(1+Parâmetros!E11)*(1+Parâmetros!E16)</f>
        <v>90461.93996513642</v>
      </c>
      <c r="H45" s="245">
        <f>G45*(1+Parâmetros!F11)*(1+Parâmetros!F16)</f>
        <v>98889.92711525498</v>
      </c>
      <c r="I45" s="245">
        <f>H45*(1+Parâmetros!G11)*(1+Parâmetros!G16)</f>
        <v>108553.63392245235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</row>
    <row r="46" spans="1:177" ht="25.5">
      <c r="A46" s="243" t="s">
        <v>284</v>
      </c>
      <c r="B46" s="244" t="s">
        <v>285</v>
      </c>
      <c r="C46" s="86">
        <v>685674.38</v>
      </c>
      <c r="D46" s="86">
        <v>772881.65</v>
      </c>
      <c r="E46" s="86">
        <v>781718.76</v>
      </c>
      <c r="F46" s="86">
        <v>697909.8</v>
      </c>
      <c r="G46" s="245">
        <f>(((D46*(1+Parâmetros!B11)*(1+Parâmetros!C11)*(1+Parâmetros!D11))+(E46*(1+Parâmetros!C11)*(1+Parâmetros!D11)+(F46*(1+Parâmetros!D11))))/3)*(1+Parâmetros!E11)</f>
        <v>814617.1216559707</v>
      </c>
      <c r="H46" s="245">
        <f>G46*(1+Parâmetros!F11)</f>
        <v>832946.00689323</v>
      </c>
      <c r="I46" s="245">
        <f>H46*(1+Parâmetros!G11)</f>
        <v>853769.6570655607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</row>
    <row r="47" spans="1:177" ht="25.5">
      <c r="A47" s="243" t="s">
        <v>286</v>
      </c>
      <c r="B47" s="244" t="s">
        <v>287</v>
      </c>
      <c r="C47" s="86">
        <v>110742.84</v>
      </c>
      <c r="D47" s="86">
        <v>90946.98</v>
      </c>
      <c r="E47" s="86">
        <v>264295.06</v>
      </c>
      <c r="F47" s="86">
        <v>332320.6</v>
      </c>
      <c r="G47" s="245">
        <f>(((D47*(1+Parâmetros!B11)*(1+Parâmetros!C11)*(1+Parâmetros!D11))+(E47*(1+Parâmetros!C11)*(1+Parâmetros!D11)+(F47*(1+Parâmetros!D11))))/3)*(1+Parâmetros!E11)</f>
        <v>245326.3896096758</v>
      </c>
      <c r="H47" s="245">
        <f>G47*(1+Parâmetros!F11)</f>
        <v>250846.2333758935</v>
      </c>
      <c r="I47" s="245">
        <f>H47*(1+Parâmetros!G11)</f>
        <v>257117.3892102908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</row>
    <row r="48" spans="1:177" ht="25.5">
      <c r="A48" s="243" t="s">
        <v>288</v>
      </c>
      <c r="B48" s="244" t="s">
        <v>289</v>
      </c>
      <c r="C48" s="86">
        <v>488138.12</v>
      </c>
      <c r="D48" s="86">
        <v>441745.62</v>
      </c>
      <c r="E48" s="86">
        <v>357821.1</v>
      </c>
      <c r="F48" s="86">
        <v>384406.23</v>
      </c>
      <c r="G48" s="245">
        <f>(((D48*(1+Parâmetros!B11)*(1+Parâmetros!C11)*(1+Parâmetros!D11))+(E48*(1+Parâmetros!C11)*(1+Parâmetros!D11)+(F48*(1+Parâmetros!D11))))/3)*(1+Parâmetros!E11)</f>
        <v>428510.27005882317</v>
      </c>
      <c r="H48" s="245">
        <f>G48*(1+Parâmetros!F11)</f>
        <v>438151.75113514665</v>
      </c>
      <c r="I48" s="245">
        <f>H48*(1+Parâmetros!G11)</f>
        <v>449105.5449135253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</row>
    <row r="49" spans="1:177" ht="25.5">
      <c r="A49" s="243" t="s">
        <v>290</v>
      </c>
      <c r="B49" s="244" t="s">
        <v>291</v>
      </c>
      <c r="C49" s="86">
        <v>41992.91</v>
      </c>
      <c r="D49" s="86">
        <v>43604.42</v>
      </c>
      <c r="E49" s="86">
        <v>43330.2</v>
      </c>
      <c r="F49" s="86">
        <v>50314.49</v>
      </c>
      <c r="G49" s="245">
        <f>(((D49*(1+Parâmetros!B11)*(1+Parâmetros!C11)*(1+Parâmetros!D11))+(E49*(1+Parâmetros!C11)*(1+Parâmetros!D11)+(F49*(1+Parâmetros!D11))))/3)*(1+Parâmetros!E11)*(1+Parâmetros!E16)</f>
        <v>53154.72305815353</v>
      </c>
      <c r="H49" s="245">
        <f>G49*(1+Parâmetros!F11)*(1+Parâmetros!F16)</f>
        <v>58106.9418926698</v>
      </c>
      <c r="I49" s="245">
        <f>H49*(1+Parâmetros!G11)*(1+Parâmetros!G16)</f>
        <v>63785.25985986944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</row>
    <row r="50" spans="1:177" ht="12.75">
      <c r="A50" s="243" t="s">
        <v>292</v>
      </c>
      <c r="B50" s="244" t="s">
        <v>293</v>
      </c>
      <c r="C50" s="86">
        <v>32492.56</v>
      </c>
      <c r="D50" s="86">
        <v>450093.54</v>
      </c>
      <c r="E50" s="86">
        <v>40964.39</v>
      </c>
      <c r="F50" s="86">
        <v>221081.72</v>
      </c>
      <c r="G50" s="245">
        <f>(((D50*(1+Parâmetros!B11)*(1+Parâmetros!C11)*(1+Parâmetros!D11))+(E50*(1+Parâmetros!C11)*(1+Parâmetros!D11)+(F50*(1+Parâmetros!D11))))/3)*(1+Parâmetros!E11)</f>
        <v>260501.94984866944</v>
      </c>
      <c r="H50" s="245">
        <f>G50*(1+Parâmetros!F11)</f>
        <v>266363.24372026447</v>
      </c>
      <c r="I50" s="245">
        <f>H50*(1+Parâmetros!G11)</f>
        <v>273022.32481327106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</row>
    <row r="51" spans="1:177" s="7" customFormat="1" ht="25.5">
      <c r="A51" s="240" t="s">
        <v>294</v>
      </c>
      <c r="B51" s="241" t="s">
        <v>295</v>
      </c>
      <c r="C51" s="242">
        <f aca="true" t="shared" si="10" ref="C51:I51">C52+C53+C54+C55+C56+C57+C58+C59+C60</f>
        <v>6272086.239999998</v>
      </c>
      <c r="D51" s="242">
        <f t="shared" si="10"/>
        <v>7308938.239999998</v>
      </c>
      <c r="E51" s="242">
        <f t="shared" si="10"/>
        <v>7548421.0600000005</v>
      </c>
      <c r="F51" s="242">
        <f t="shared" si="10"/>
        <v>8110112.369999999</v>
      </c>
      <c r="G51" s="242">
        <f t="shared" si="10"/>
        <v>8720034.388174102</v>
      </c>
      <c r="H51" s="242">
        <f t="shared" si="10"/>
        <v>9297613.640072567</v>
      </c>
      <c r="I51" s="242">
        <f t="shared" si="10"/>
        <v>9947955.170318628</v>
      </c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</row>
    <row r="52" spans="1:177" ht="12.75">
      <c r="A52" s="243" t="s">
        <v>296</v>
      </c>
      <c r="B52" s="244" t="s">
        <v>297</v>
      </c>
      <c r="C52" s="86">
        <v>5843221.27</v>
      </c>
      <c r="D52" s="86">
        <v>6715406.5</v>
      </c>
      <c r="E52" s="86">
        <v>6996222.21</v>
      </c>
      <c r="F52" s="86">
        <v>7262742.6</v>
      </c>
      <c r="G52" s="245">
        <f>(((D52*(1+Parâmetros!B11)*(1+Parâmetros!C11)*(1+Parâmetros!D11))+(E52*(1+Parâmetros!C11)*(1+Parâmetros!D11)+(F52*(1+Parâmetros!D11))))/3)*(1+Parâmetros!E11)*(1+Parâmetros!E17)</f>
        <v>7986333.764385681</v>
      </c>
      <c r="H52" s="245">
        <f>G52*(1+Parâmetros!F11)*(1+Parâmetros!F17)</f>
        <v>8532771.587416014</v>
      </c>
      <c r="I52" s="245">
        <f>H52*(1+Parâmetros!G11)*(1+Parâmetros!G17)</f>
        <v>9147957.556439636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</row>
    <row r="53" spans="1:177" ht="12.75">
      <c r="A53" s="243" t="s">
        <v>300</v>
      </c>
      <c r="B53" s="244" t="s">
        <v>301</v>
      </c>
      <c r="C53" s="86">
        <v>114752.18</v>
      </c>
      <c r="D53" s="86">
        <v>135194.6</v>
      </c>
      <c r="E53" s="86">
        <v>153812.78</v>
      </c>
      <c r="F53" s="86">
        <v>185354.96</v>
      </c>
      <c r="G53" s="245">
        <f>(((D53*(1+Parâmetros!B11)*(1+Parâmetros!C11)*(1+Parâmetros!D11))+(E53*(1+Parâmetros!C11)*(1+Parâmetros!D11)+(F53*(1+Parâmetros!D11))))/3)*(1+Parâmetros!E11)*(1+Parâmetros!E17)</f>
        <v>180135.97745924562</v>
      </c>
      <c r="H53" s="245">
        <f>G53*(1+Parâmetros!F11)*(1+Parâmetros!F17)</f>
        <v>192461.171256082</v>
      </c>
      <c r="I53" s="245">
        <f>H53*(1+Parâmetros!G11)*(1+Parâmetros!G17)</f>
        <v>206337.0158073656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</row>
    <row r="54" spans="1:177" ht="12.75">
      <c r="A54" s="243" t="s">
        <v>302</v>
      </c>
      <c r="B54" s="244" t="s">
        <v>303</v>
      </c>
      <c r="C54" s="86">
        <v>109492.27</v>
      </c>
      <c r="D54" s="86">
        <v>77467.89</v>
      </c>
      <c r="E54" s="86">
        <v>105766.27</v>
      </c>
      <c r="F54" s="86">
        <v>139533.14</v>
      </c>
      <c r="G54" s="245">
        <f>(((D54*(1+Parâmetros!B11)*(1+Parâmetros!C11)*(1+Parâmetros!D11))+(E54*(1+Parâmetros!C11)*(1+Parâmetros!D11)+(F54*(1+Parâmetros!D11))))/3)*(1+Parâmetros!E11)*(1+Parâmetros!E17)</f>
        <v>122200.81506091967</v>
      </c>
      <c r="H54" s="245">
        <f>G54*(1+Parâmetros!F11)*(1+Parâmetros!F17)</f>
        <v>130561.99170647873</v>
      </c>
      <c r="I54" s="245">
        <f>H54*(1+Parâmetros!G11)*(1+Parâmetros!G17)</f>
        <v>139975.1002800234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</row>
    <row r="55" spans="1:177" ht="25.5">
      <c r="A55" s="243" t="s">
        <v>304</v>
      </c>
      <c r="B55" s="244" t="s">
        <v>305</v>
      </c>
      <c r="C55" s="86">
        <v>4540.16</v>
      </c>
      <c r="D55" s="86">
        <v>12528.26</v>
      </c>
      <c r="E55" s="86">
        <v>17455.44</v>
      </c>
      <c r="F55" s="86">
        <v>12863.87</v>
      </c>
      <c r="G55" s="245">
        <f>(((D55*(1+Parâmetros!B11)*(1+Parâmetros!C11)*(1+Parâmetros!D11))+(E55*(1+Parâmetros!C11)*(1+Parâmetros!D11)+(F55*(1+Parâmetros!D11))))/3)*(1+Parâmetros!E11)*(1+Parâmetros!E17)</f>
        <v>16318.508956242593</v>
      </c>
      <c r="H55" s="245">
        <f>G55*(1+Parâmetros!F11)*(1+Parâmetros!F17)</f>
        <v>17435.04762995981</v>
      </c>
      <c r="I55" s="245">
        <f>H55*(1+Parâmetros!G11)*(1+Parâmetros!G17)</f>
        <v>18692.059675966997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</row>
    <row r="56" spans="1:177" ht="12.75">
      <c r="A56" s="243" t="s">
        <v>306</v>
      </c>
      <c r="B56" s="244" t="s">
        <v>307</v>
      </c>
      <c r="C56" s="86">
        <v>0</v>
      </c>
      <c r="D56" s="86">
        <v>0</v>
      </c>
      <c r="E56" s="86">
        <v>0</v>
      </c>
      <c r="F56" s="86">
        <v>0</v>
      </c>
      <c r="G56" s="245">
        <f>(((D56*(1+Parâmetros!B11)*(1+Parâmetros!C11)*(1+Parâmetros!D11))+(E56*(1+Parâmetros!C11)*(1+Parâmetros!D11)+(F56*(1+Parâmetros!D11))))/3)*(1+Parâmetros!E11)</f>
        <v>0</v>
      </c>
      <c r="H56" s="245">
        <f>G56*(1+Parâmetros!F11)</f>
        <v>0</v>
      </c>
      <c r="I56" s="245">
        <f>H56*(1+Parâmetros!G11)</f>
        <v>0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</row>
    <row r="57" spans="1:177" ht="12.75">
      <c r="A57" s="243" t="s">
        <v>308</v>
      </c>
      <c r="B57" s="244" t="s">
        <v>309</v>
      </c>
      <c r="C57" s="86">
        <v>193763.51</v>
      </c>
      <c r="D57" s="86">
        <v>358680.1</v>
      </c>
      <c r="E57" s="86">
        <v>267228.08</v>
      </c>
      <c r="F57" s="86">
        <v>497526.8</v>
      </c>
      <c r="G57" s="245">
        <f>(((D57*(1+Parâmetros!B11)*(1+Parâmetros!C11)*(1+Parâmetros!D11))+(E57*(1+Parâmetros!C11)*(1+Parâmetros!D11)+(F57*(1+Parâmetros!D11))))/3)*(1+Parâmetros!E11)</f>
        <v>404346.33439378726</v>
      </c>
      <c r="H57" s="245">
        <f>G57*(1+Parâmetros!F11)</f>
        <v>413444.12691764743</v>
      </c>
      <c r="I57" s="245">
        <f>H57*(1+Parâmetros!G11)</f>
        <v>423780.23009058856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</row>
    <row r="58" spans="1:177" ht="25.5">
      <c r="A58" s="243" t="s">
        <v>310</v>
      </c>
      <c r="B58" s="244" t="s">
        <v>311</v>
      </c>
      <c r="C58" s="86">
        <v>6316.85</v>
      </c>
      <c r="D58" s="86">
        <v>9660.89</v>
      </c>
      <c r="E58" s="86">
        <v>7936.28</v>
      </c>
      <c r="F58" s="86">
        <v>12091</v>
      </c>
      <c r="G58" s="245">
        <f>(((D58*(1+Parâmetros!B11)*(1+Parâmetros!C11)*(1+Parâmetros!D11))+(E58*(1+Parâmetros!C11)*(1+Parâmetros!D11)+(F58*(1+Parâmetros!D11))))/3)*(1+Parâmetros!E11)</f>
        <v>10698.987918225497</v>
      </c>
      <c r="H58" s="245">
        <f>G58*(1+Parâmetros!F11)</f>
        <v>10939.71514638557</v>
      </c>
      <c r="I58" s="245">
        <f>H58*(1+Parâmetros!G11)</f>
        <v>11213.208025045207</v>
      </c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</row>
    <row r="59" spans="1:177" ht="25.5">
      <c r="A59" s="243" t="s">
        <v>312</v>
      </c>
      <c r="B59" s="244" t="s">
        <v>313</v>
      </c>
      <c r="C59" s="86">
        <v>0</v>
      </c>
      <c r="D59" s="86">
        <v>0</v>
      </c>
      <c r="E59" s="86">
        <v>0</v>
      </c>
      <c r="F59" s="86">
        <v>0</v>
      </c>
      <c r="G59" s="245">
        <f>(((D59*(1+Parâmetros!B11)*(1+Parâmetros!C11)*(1+Parâmetros!D11))+(E59*(1+Parâmetros!C11)*(1+Parâmetros!D11)+(F59*(1+Parâmetros!D11))))/3)*(1+Parâmetros!E11)</f>
        <v>0</v>
      </c>
      <c r="H59" s="245">
        <f>G59*(1+Parâmetros!F11)</f>
        <v>0</v>
      </c>
      <c r="I59" s="245">
        <f>H59*(1+Parâmetros!G11)</f>
        <v>0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</row>
    <row r="60" spans="1:177" ht="12.75">
      <c r="A60" s="243" t="s">
        <v>314</v>
      </c>
      <c r="B60" s="244" t="s">
        <v>309</v>
      </c>
      <c r="C60" s="86">
        <v>0</v>
      </c>
      <c r="D60" s="86">
        <v>0</v>
      </c>
      <c r="E60" s="86">
        <v>0</v>
      </c>
      <c r="F60" s="86">
        <v>0</v>
      </c>
      <c r="G60" s="245">
        <f>(((D60*(1+Parâmetros!B11)*(1+Parâmetros!C11)*(1+Parâmetros!D11))+(E60*(1+Parâmetros!C11)*(1+Parâmetros!D11)+(F60*(1+Parâmetros!D11))))/3)*(1+Parâmetros!E11)</f>
        <v>0</v>
      </c>
      <c r="H60" s="245">
        <f>G60*(1+Parâmetros!F11)</f>
        <v>0</v>
      </c>
      <c r="I60" s="245">
        <f>H60*(1+Parâmetros!G11)</f>
        <v>0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</row>
    <row r="61" spans="1:177" ht="12.75">
      <c r="A61" s="243" t="s">
        <v>315</v>
      </c>
      <c r="B61" s="244" t="s">
        <v>316</v>
      </c>
      <c r="C61" s="86">
        <v>0</v>
      </c>
      <c r="D61" s="86">
        <v>0</v>
      </c>
      <c r="E61" s="86">
        <v>0</v>
      </c>
      <c r="F61" s="86">
        <v>0</v>
      </c>
      <c r="G61" s="245">
        <f>(((D61*(1+Parâmetros!B11)*(1+Parâmetros!C11)*(1+Parâmetros!D11))+(E61*(1+Parâmetros!C11)*(1+Parâmetros!D11)+(F61*(1+Parâmetros!D11))))/3)*(1+Parâmetros!E11)</f>
        <v>0</v>
      </c>
      <c r="H61" s="245">
        <f>G61*(1+Parâmetros!F11)</f>
        <v>0</v>
      </c>
      <c r="I61" s="245">
        <f>H61*(1+Parâmetros!G11)</f>
        <v>0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</row>
    <row r="62" spans="1:177" ht="12.75">
      <c r="A62" s="243" t="s">
        <v>317</v>
      </c>
      <c r="B62" s="244" t="s">
        <v>318</v>
      </c>
      <c r="C62" s="86">
        <v>0</v>
      </c>
      <c r="D62" s="86">
        <v>0</v>
      </c>
      <c r="E62" s="86">
        <v>0</v>
      </c>
      <c r="F62" s="86">
        <v>0</v>
      </c>
      <c r="G62" s="245">
        <f>(((D62*(1+Parâmetros!B11)*(1+Parâmetros!C11)*(1+Parâmetros!D11))+(E62*(1+Parâmetros!C11)*(1+Parâmetros!D11)+(F62*(1+Parâmetros!D11))))/3)*(1+Parâmetros!E11)</f>
        <v>0</v>
      </c>
      <c r="H62" s="245">
        <f>G62*(1+Parâmetros!F11)</f>
        <v>0</v>
      </c>
      <c r="I62" s="245">
        <f>H62*(1+Parâmetros!G11)</f>
        <v>0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</row>
    <row r="63" spans="1:177" ht="12.75">
      <c r="A63" s="243" t="s">
        <v>413</v>
      </c>
      <c r="B63" s="244" t="s">
        <v>414</v>
      </c>
      <c r="C63" s="86">
        <v>2541141.7</v>
      </c>
      <c r="D63" s="86">
        <v>2701487.94</v>
      </c>
      <c r="E63" s="86">
        <v>3077723.75</v>
      </c>
      <c r="F63" s="86">
        <v>3291170.2</v>
      </c>
      <c r="G63" s="245">
        <f>(((D63*(1+Parâmetros!B11)*(1+Parâmetros!C11)*(1+Parâmetros!D11))+(E63*(1+Parâmetros!C11)*(1+Parâmetros!D11)+(F63*(1+Parâmetros!D11))))/3)*(1+Parâmetros!E11)*(1+Parâmetros!E16)</f>
        <v>3510430.332482614</v>
      </c>
      <c r="H63" s="245">
        <f>G63*(1+Parâmetros!F11)*(1+Parâmetros!F16)</f>
        <v>3837483.474886504</v>
      </c>
      <c r="I63" s="245">
        <f>H63*(1+Parâmetros!G11)*(1+Parâmetros!G16)</f>
        <v>4212489.466503292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</row>
    <row r="64" spans="1:177" ht="12.75">
      <c r="A64" s="243" t="s">
        <v>320</v>
      </c>
      <c r="B64" s="244" t="s">
        <v>321</v>
      </c>
      <c r="C64" s="86">
        <v>449775</v>
      </c>
      <c r="D64" s="86">
        <v>209000.85</v>
      </c>
      <c r="E64" s="86">
        <v>232175.1</v>
      </c>
      <c r="F64" s="86">
        <v>0</v>
      </c>
      <c r="G64" s="245">
        <f>(((D64*(1+Parâmetros!B11)*(1+Parâmetros!C11)*(1+Parâmetros!D11))+(E64*(1+Parâmetros!C11)*(1+Parâmetros!D11)+(F64*(1+Parâmetros!D11))))/3)*(1+Parâmetros!E11)</f>
        <v>161804.04727808488</v>
      </c>
      <c r="H64" s="245">
        <f>G64*(1+Parâmetros!F11)</f>
        <v>165444.63834184178</v>
      </c>
      <c r="I64" s="245">
        <f>H64*(1+Parâmetros!G11)</f>
        <v>169580.7543003878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</row>
    <row r="65" spans="1:177" ht="12.75">
      <c r="A65" s="243" t="s">
        <v>322</v>
      </c>
      <c r="B65" s="244" t="s">
        <v>323</v>
      </c>
      <c r="C65" s="86">
        <v>0</v>
      </c>
      <c r="D65" s="86">
        <v>0</v>
      </c>
      <c r="E65" s="86">
        <v>0</v>
      </c>
      <c r="F65" s="86">
        <v>0</v>
      </c>
      <c r="G65" s="245">
        <f>(((D65*(1+Parâmetros!B11)*(1+Parâmetros!C11)*(1+Parâmetros!D11))+(E65*(1+Parâmetros!C11)*(1+Parâmetros!D11)+(F65*(1+Parâmetros!D11))))/3)*(1+Parâmetros!E11)</f>
        <v>0</v>
      </c>
      <c r="H65" s="245">
        <f>G65*(1+Parâmetros!F11)</f>
        <v>0</v>
      </c>
      <c r="I65" s="245">
        <f>H65*(1+Parâmetros!G11)</f>
        <v>0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</row>
    <row r="66" spans="1:177" s="7" customFormat="1" ht="12.75">
      <c r="A66" s="240" t="s">
        <v>324</v>
      </c>
      <c r="B66" s="241" t="s">
        <v>325</v>
      </c>
      <c r="C66" s="242">
        <f aca="true" t="shared" si="11" ref="C66:I66">C67+C68+C71</f>
        <v>746749.45</v>
      </c>
      <c r="D66" s="242">
        <f t="shared" si="11"/>
        <v>491136.37</v>
      </c>
      <c r="E66" s="242">
        <f t="shared" si="11"/>
        <v>502876.76</v>
      </c>
      <c r="F66" s="242">
        <f t="shared" si="11"/>
        <v>742951.58</v>
      </c>
      <c r="G66" s="242">
        <f t="shared" si="11"/>
        <v>624528.3444679631</v>
      </c>
      <c r="H66" s="242">
        <f t="shared" si="11"/>
        <v>638580.2322184922</v>
      </c>
      <c r="I66" s="242">
        <f t="shared" si="11"/>
        <v>654544.7380239544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</row>
    <row r="67" spans="1:177" ht="12.75">
      <c r="A67" s="243" t="s">
        <v>326</v>
      </c>
      <c r="B67" s="244" t="s">
        <v>327</v>
      </c>
      <c r="C67" s="86">
        <v>0</v>
      </c>
      <c r="D67" s="86">
        <v>0</v>
      </c>
      <c r="E67" s="86">
        <v>0</v>
      </c>
      <c r="F67" s="86">
        <v>0</v>
      </c>
      <c r="G67" s="245">
        <f>(((D67*(1+Parâmetros!B11)*(1+Parâmetros!C11)*(1+Parâmetros!D11))+(E67*(1+Parâmetros!C11)*(1+Parâmetros!D11)+(F67*(1+Parâmetros!D11))))/3)*(1+Parâmetros!E11)</f>
        <v>0</v>
      </c>
      <c r="H67" s="245">
        <f>G67*(1+Parâmetros!F11)</f>
        <v>0</v>
      </c>
      <c r="I67" s="245">
        <f>H67*(1+Parâmetros!G11)</f>
        <v>0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</row>
    <row r="68" spans="1:177" ht="12.75">
      <c r="A68" s="355" t="s">
        <v>328</v>
      </c>
      <c r="B68" s="356" t="s">
        <v>329</v>
      </c>
      <c r="C68" s="357">
        <f aca="true" t="shared" si="12" ref="C68:I68">C69+C70</f>
        <v>0</v>
      </c>
      <c r="D68" s="357">
        <f t="shared" si="12"/>
        <v>0</v>
      </c>
      <c r="E68" s="357">
        <f t="shared" si="12"/>
        <v>0</v>
      </c>
      <c r="F68" s="357">
        <f t="shared" si="12"/>
        <v>0</v>
      </c>
      <c r="G68" s="357">
        <f t="shared" si="12"/>
        <v>0</v>
      </c>
      <c r="H68" s="357">
        <f t="shared" si="12"/>
        <v>0</v>
      </c>
      <c r="I68" s="357">
        <f t="shared" si="12"/>
        <v>0</v>
      </c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</row>
    <row r="69" spans="1:177" ht="12.75">
      <c r="A69" s="243" t="s">
        <v>543</v>
      </c>
      <c r="B69" s="244" t="s">
        <v>544</v>
      </c>
      <c r="C69" s="86"/>
      <c r="D69" s="86">
        <v>0</v>
      </c>
      <c r="E69" s="86">
        <v>0</v>
      </c>
      <c r="F69" s="86">
        <v>0</v>
      </c>
      <c r="G69" s="357">
        <f>(((D69*(1+Parâmetros!B11)*(1+Parâmetros!C11)*(1+Parâmetros!D11))+(E69*(1+Parâmetros!C11)*(1+Parâmetros!D11)+(F69*(1+Parâmetros!D11))))/3)*(1+Parâmetros!E11)</f>
        <v>0</v>
      </c>
      <c r="H69" s="357">
        <f>G69*(1+Parâmetros!F11)</f>
        <v>0</v>
      </c>
      <c r="I69" s="357">
        <f>H69*(1+Parâmetros!G11)</f>
        <v>0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</row>
    <row r="70" spans="1:177" ht="12.75">
      <c r="A70" s="243" t="s">
        <v>545</v>
      </c>
      <c r="B70" s="244" t="s">
        <v>546</v>
      </c>
      <c r="C70" s="86"/>
      <c r="D70" s="86">
        <v>0</v>
      </c>
      <c r="E70" s="86">
        <v>0</v>
      </c>
      <c r="F70" s="86">
        <v>0</v>
      </c>
      <c r="G70" s="357">
        <f>(((D70*(1+Parâmetros!B11)*(1+Parâmetros!C11)*(1+Parâmetros!D11))+(E70*(1+Parâmetros!C11)*(1+Parâmetros!D11)+(F70*(1+Parâmetros!D11))))/3)*(1+Parâmetros!E11)</f>
        <v>0</v>
      </c>
      <c r="H70" s="357">
        <f>G70*(1+Parâmetros!F11)</f>
        <v>0</v>
      </c>
      <c r="I70" s="357">
        <f>H70*(1+Parâmetros!G11)</f>
        <v>0</v>
      </c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</row>
    <row r="71" spans="1:177" s="7" customFormat="1" ht="12.75">
      <c r="A71" s="240" t="s">
        <v>330</v>
      </c>
      <c r="B71" s="241" t="s">
        <v>331</v>
      </c>
      <c r="C71" s="242">
        <f aca="true" t="shared" si="13" ref="C71:I71">C72+C73+C74+C75+C76+C77</f>
        <v>746749.45</v>
      </c>
      <c r="D71" s="242">
        <f t="shared" si="13"/>
        <v>491136.37</v>
      </c>
      <c r="E71" s="242">
        <f t="shared" si="13"/>
        <v>502876.76</v>
      </c>
      <c r="F71" s="242">
        <f t="shared" si="13"/>
        <v>742951.58</v>
      </c>
      <c r="G71" s="242">
        <f t="shared" si="13"/>
        <v>624528.3444679631</v>
      </c>
      <c r="H71" s="242">
        <f t="shared" si="13"/>
        <v>638580.2322184922</v>
      </c>
      <c r="I71" s="242">
        <f t="shared" si="13"/>
        <v>654544.7380239544</v>
      </c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</row>
    <row r="72" spans="1:177" ht="25.5">
      <c r="A72" s="243" t="s">
        <v>332</v>
      </c>
      <c r="B72" s="244" t="s">
        <v>333</v>
      </c>
      <c r="C72" s="86">
        <v>0</v>
      </c>
      <c r="D72" s="86">
        <v>0</v>
      </c>
      <c r="E72" s="86">
        <v>0</v>
      </c>
      <c r="F72" s="86">
        <v>0</v>
      </c>
      <c r="G72" s="245">
        <f>(((D72*(1+Parâmetros!B11)*(1+Parâmetros!C11)*(1+Parâmetros!D11))+(E72*(1+Parâmetros!C11)*(1+Parâmetros!D11)+(F72*(1+Parâmetros!D11))))/3)*(1+Parâmetros!E11)</f>
        <v>0</v>
      </c>
      <c r="H72" s="245">
        <f>G72*(1+Parâmetros!F11)</f>
        <v>0</v>
      </c>
      <c r="I72" s="245">
        <f>H72*(1+Parâmetros!G11)</f>
        <v>0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</row>
    <row r="73" spans="1:177" ht="12.75">
      <c r="A73" s="243" t="s">
        <v>334</v>
      </c>
      <c r="B73" s="244" t="s">
        <v>335</v>
      </c>
      <c r="C73" s="86"/>
      <c r="D73" s="86"/>
      <c r="E73" s="86"/>
      <c r="F73" s="86"/>
      <c r="G73" s="245">
        <f>(((D73*(1+Parâmetros!B11)*(1+Parâmetros!C11)*(1+Parâmetros!D11))+(E73*(1+Parâmetros!C11)*(1+Parâmetros!D11)+(F73*(1+Parâmetros!D11))))/3)*(1+Parâmetros!E11)</f>
        <v>0</v>
      </c>
      <c r="H73" s="245">
        <f>G73*(1+Parâmetros!F11)</f>
        <v>0</v>
      </c>
      <c r="I73" s="245">
        <f>H73*(1+Parâmetros!G11)</f>
        <v>0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</row>
    <row r="74" spans="1:177" ht="12.75">
      <c r="A74" s="243" t="s">
        <v>547</v>
      </c>
      <c r="B74" s="244" t="s">
        <v>548</v>
      </c>
      <c r="C74" s="86">
        <v>0</v>
      </c>
      <c r="D74" s="86">
        <v>0</v>
      </c>
      <c r="E74" s="86">
        <v>0</v>
      </c>
      <c r="F74" s="86">
        <v>0</v>
      </c>
      <c r="G74" s="245">
        <f>((C74+D74+E74+F74)/4)/Parâmetros!D22*Parâmetros!E22</f>
        <v>0</v>
      </c>
      <c r="H74" s="245">
        <f>((D74+E74+F74+G74)/4)/Parâmetros!E22*Parâmetros!F22</f>
        <v>0</v>
      </c>
      <c r="I74" s="245">
        <f>((E74+F74+G74+H74)/4)/Parâmetros!F22*Parâmetros!G22</f>
        <v>0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</row>
    <row r="75" spans="1:177" ht="25.5">
      <c r="A75" s="243" t="s">
        <v>336</v>
      </c>
      <c r="B75" s="244" t="s">
        <v>337</v>
      </c>
      <c r="C75" s="86">
        <v>0</v>
      </c>
      <c r="D75" s="86">
        <v>0</v>
      </c>
      <c r="E75" s="86">
        <v>0</v>
      </c>
      <c r="F75" s="86">
        <v>0</v>
      </c>
      <c r="G75" s="245">
        <f>(((D75*(1+Parâmetros!B11)*(1+Parâmetros!C11)*(1+Parâmetros!D11))+(E75*(1+Parâmetros!C11)*(1+Parâmetros!D11)+(F75*(1+Parâmetros!D11))))/3)*(1+Parâmetros!E11)</f>
        <v>0</v>
      </c>
      <c r="H75" s="245">
        <f>G75*(1+Parâmetros!F11)</f>
        <v>0</v>
      </c>
      <c r="I75" s="245">
        <f>H75*(1+Parâmetros!G11)</f>
        <v>0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</row>
    <row r="76" spans="1:177" ht="12.75">
      <c r="A76" s="243" t="s">
        <v>549</v>
      </c>
      <c r="B76" s="244" t="s">
        <v>550</v>
      </c>
      <c r="C76" s="86">
        <v>0</v>
      </c>
      <c r="D76" s="86">
        <v>0</v>
      </c>
      <c r="E76" s="86">
        <v>0</v>
      </c>
      <c r="F76" s="86">
        <v>0</v>
      </c>
      <c r="G76" s="245">
        <f>((C76+D76+E76+F76)/4)*(1+Parâmetros!E11)</f>
        <v>0</v>
      </c>
      <c r="H76" s="245">
        <f>((D76+E76+F76+G76)/4)*(1+Parâmetros!F11)</f>
        <v>0</v>
      </c>
      <c r="I76" s="245">
        <f>((E76+F76+G76+H76)/4)*(1+Parâmetros!G11)</f>
        <v>0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</row>
    <row r="77" spans="1:177" ht="12.75">
      <c r="A77" s="243" t="s">
        <v>338</v>
      </c>
      <c r="B77" s="244" t="s">
        <v>551</v>
      </c>
      <c r="C77" s="86">
        <v>746749.45</v>
      </c>
      <c r="D77" s="86">
        <v>491136.37</v>
      </c>
      <c r="E77" s="86">
        <v>502876.76</v>
      </c>
      <c r="F77" s="86">
        <v>742951.58</v>
      </c>
      <c r="G77" s="245">
        <f>(((D77*(1+Parâmetros!B11)*(1+Parâmetros!C11)*(1+Parâmetros!D11))+(E77*(1+Parâmetros!C11)*(1+Parâmetros!D11)+(F77*(1+Parâmetros!D11))))/3)*(1+Parâmetros!E11)</f>
        <v>624528.3444679631</v>
      </c>
      <c r="H77" s="245">
        <f>G77*(1+Parâmetros!F11)</f>
        <v>638580.2322184922</v>
      </c>
      <c r="I77" s="245">
        <f>H77*(1+Parâmetros!G11)</f>
        <v>654544.7380239544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</row>
    <row r="78" spans="1:177" s="10" customFormat="1" ht="18">
      <c r="A78" s="240" t="s">
        <v>339</v>
      </c>
      <c r="B78" s="241" t="s">
        <v>340</v>
      </c>
      <c r="C78" s="242">
        <f aca="true" t="shared" si="14" ref="C78:I78">C79+C80+C85+C86+C94</f>
        <v>316214.2</v>
      </c>
      <c r="D78" s="242">
        <f t="shared" si="14"/>
        <v>12048.33</v>
      </c>
      <c r="E78" s="242">
        <f t="shared" si="14"/>
        <v>33960.85</v>
      </c>
      <c r="F78" s="242">
        <f t="shared" si="14"/>
        <v>11342</v>
      </c>
      <c r="G78" s="242">
        <f t="shared" si="14"/>
        <v>20698.06702745679</v>
      </c>
      <c r="H78" s="242">
        <f t="shared" si="14"/>
        <v>21163.773535574564</v>
      </c>
      <c r="I78" s="242">
        <f t="shared" si="14"/>
        <v>21692.867873963925</v>
      </c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</row>
    <row r="79" spans="1:9" s="87" customFormat="1" ht="12.75">
      <c r="A79" s="243" t="s">
        <v>341</v>
      </c>
      <c r="B79" s="244" t="s">
        <v>342</v>
      </c>
      <c r="C79" s="86">
        <v>0</v>
      </c>
      <c r="D79" s="86">
        <v>0</v>
      </c>
      <c r="E79" s="86"/>
      <c r="F79" s="86"/>
      <c r="G79" s="245">
        <f>Dívida!E20</f>
        <v>0</v>
      </c>
      <c r="H79" s="245">
        <f>Dívida!F20</f>
        <v>0</v>
      </c>
      <c r="I79" s="245">
        <f>Dívida!G20</f>
        <v>0</v>
      </c>
    </row>
    <row r="80" spans="1:177" s="7" customFormat="1" ht="12.75">
      <c r="A80" s="240" t="s">
        <v>343</v>
      </c>
      <c r="B80" s="241" t="s">
        <v>344</v>
      </c>
      <c r="C80" s="242">
        <f aca="true" t="shared" si="15" ref="C80:I80">C81+C82+C83+C84</f>
        <v>9014.5</v>
      </c>
      <c r="D80" s="242">
        <f t="shared" si="15"/>
        <v>12048.33</v>
      </c>
      <c r="E80" s="242">
        <f t="shared" si="15"/>
        <v>33960.85</v>
      </c>
      <c r="F80" s="242">
        <f t="shared" si="15"/>
        <v>11342</v>
      </c>
      <c r="G80" s="242">
        <f t="shared" si="15"/>
        <v>20698.06702745679</v>
      </c>
      <c r="H80" s="242">
        <f t="shared" si="15"/>
        <v>21163.773535574564</v>
      </c>
      <c r="I80" s="242">
        <f t="shared" si="15"/>
        <v>21692.867873963925</v>
      </c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</row>
    <row r="81" spans="1:177" s="7" customFormat="1" ht="12.75">
      <c r="A81" s="243" t="s">
        <v>553</v>
      </c>
      <c r="B81" s="244" t="s">
        <v>554</v>
      </c>
      <c r="C81" s="358">
        <v>0</v>
      </c>
      <c r="D81" s="358">
        <v>0</v>
      </c>
      <c r="E81" s="358">
        <v>0</v>
      </c>
      <c r="F81" s="358">
        <v>0</v>
      </c>
      <c r="G81" s="245">
        <f>((C81+D81+E81+F81)/4)*(1+Parâmetros!E11)</f>
        <v>0</v>
      </c>
      <c r="H81" s="245">
        <f>((D81+E81+F81+G81)/4)*(1+Parâmetros!F11)</f>
        <v>0</v>
      </c>
      <c r="I81" s="245">
        <f>((E81+F81+G81+H81)/4)*(1+Parâmetros!G11)</f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</row>
    <row r="82" spans="1:177" s="7" customFormat="1" ht="12.75">
      <c r="A82" s="243" t="s">
        <v>555</v>
      </c>
      <c r="B82" s="244" t="s">
        <v>556</v>
      </c>
      <c r="C82" s="358">
        <v>0</v>
      </c>
      <c r="D82" s="358">
        <v>0</v>
      </c>
      <c r="E82" s="358">
        <v>0</v>
      </c>
      <c r="F82" s="358">
        <v>0</v>
      </c>
      <c r="G82" s="245">
        <f>((C82+D82+E82+F82)/4)*(1+Parâmetros!E11)</f>
        <v>0</v>
      </c>
      <c r="H82" s="245">
        <f>((D82+E82+F82+G82)/4)*(1+Parâmetros!F11)</f>
        <v>0</v>
      </c>
      <c r="I82" s="245">
        <f>((E82+F82+G82+H82)/4)*(1+Parâmetros!G11)</f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</row>
    <row r="83" spans="1:9" s="87" customFormat="1" ht="12.75">
      <c r="A83" s="243" t="s">
        <v>345</v>
      </c>
      <c r="B83" s="244" t="s">
        <v>346</v>
      </c>
      <c r="C83" s="86">
        <v>0</v>
      </c>
      <c r="D83" s="86">
        <v>0</v>
      </c>
      <c r="E83" s="86">
        <v>0</v>
      </c>
      <c r="F83" s="86">
        <v>0</v>
      </c>
      <c r="G83" s="245">
        <f>(((D83*(1+Parâmetros!B11)*(1+Parâmetros!C11)*(1+Parâmetros!D11))+(E83*(1+Parâmetros!C11)*(1+Parâmetros!D11)+(F83*(1+Parâmetros!D11))))/3)*(1+Parâmetros!E11)</f>
        <v>0</v>
      </c>
      <c r="H83" s="245">
        <f>G83*(1+Parâmetros!F11)</f>
        <v>0</v>
      </c>
      <c r="I83" s="245">
        <f>H83*(1+Parâmetros!G11)</f>
        <v>0</v>
      </c>
    </row>
    <row r="84" spans="1:9" s="87" customFormat="1" ht="12.75">
      <c r="A84" s="243" t="s">
        <v>347</v>
      </c>
      <c r="B84" s="244" t="s">
        <v>348</v>
      </c>
      <c r="C84" s="86">
        <v>9014.5</v>
      </c>
      <c r="D84" s="86">
        <v>12048.33</v>
      </c>
      <c r="E84" s="86">
        <v>33960.85</v>
      </c>
      <c r="F84" s="86">
        <v>11342</v>
      </c>
      <c r="G84" s="245">
        <f>(((D84*(1+Parâmetros!B11)*(1+Parâmetros!C11)*(1+Parâmetros!D11))+(E84*(1+Parâmetros!C11)*(1+Parâmetros!D11)+(F84*(1+Parâmetros!D11))))/3)*(1+Parâmetros!E11)</f>
        <v>20698.06702745679</v>
      </c>
      <c r="H84" s="245">
        <f>G84*(1+Parâmetros!F11)</f>
        <v>21163.773535574564</v>
      </c>
      <c r="I84" s="245">
        <f>H84*(1+Parâmetros!G11)</f>
        <v>21692.867873963925</v>
      </c>
    </row>
    <row r="85" spans="1:9" s="87" customFormat="1" ht="12.75">
      <c r="A85" s="243" t="s">
        <v>349</v>
      </c>
      <c r="B85" s="244" t="s">
        <v>350</v>
      </c>
      <c r="C85" s="86">
        <v>0</v>
      </c>
      <c r="D85" s="86">
        <v>0</v>
      </c>
      <c r="E85" s="86">
        <v>0</v>
      </c>
      <c r="F85" s="86">
        <v>0</v>
      </c>
      <c r="G85" s="245">
        <f>(((D85*(1+Parâmetros!B11)*(1+Parâmetros!C11)*(1+Parâmetros!D11))+(E85*(1+Parâmetros!C11)*(1+Parâmetros!D11)+(F85*(1+Parâmetros!D11))))/3)*(1+Parâmetros!E11)</f>
        <v>0</v>
      </c>
      <c r="H85" s="245">
        <f>G85*(1+Parâmetros!F11)</f>
        <v>0</v>
      </c>
      <c r="I85" s="245">
        <f>H85*(1+Parâmetros!G11)</f>
        <v>0</v>
      </c>
    </row>
    <row r="86" spans="1:177" s="7" customFormat="1" ht="12.75">
      <c r="A86" s="240" t="s">
        <v>351</v>
      </c>
      <c r="B86" s="241" t="s">
        <v>352</v>
      </c>
      <c r="C86" s="242">
        <f aca="true" t="shared" si="16" ref="C86:I86">C87+C88+C89+C90+C91+C92+C93</f>
        <v>307199.7</v>
      </c>
      <c r="D86" s="242">
        <f t="shared" si="16"/>
        <v>0</v>
      </c>
      <c r="E86" s="242">
        <f t="shared" si="16"/>
        <v>0</v>
      </c>
      <c r="F86" s="242">
        <f t="shared" si="16"/>
        <v>0</v>
      </c>
      <c r="G86" s="242">
        <f t="shared" si="16"/>
        <v>0</v>
      </c>
      <c r="H86" s="242">
        <f t="shared" si="16"/>
        <v>0</v>
      </c>
      <c r="I86" s="242">
        <f t="shared" si="16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</row>
    <row r="87" spans="1:177" ht="12.75">
      <c r="A87" s="243" t="s">
        <v>353</v>
      </c>
      <c r="B87" s="244" t="s">
        <v>273</v>
      </c>
      <c r="C87" s="86">
        <v>307199.7</v>
      </c>
      <c r="D87" s="86">
        <v>0</v>
      </c>
      <c r="E87" s="86">
        <v>0</v>
      </c>
      <c r="F87" s="86">
        <v>0</v>
      </c>
      <c r="G87" s="245">
        <f>(((D87*(1+Parâmetros!B11)*(1+Parâmetros!C11)*(1+Parâmetros!D11))+(E87*(1+Parâmetros!C11)*(1+Parâmetros!D11)+(F87*(1+Parâmetros!D11))))/3)*(1+Parâmetros!E11)*(1+Parâmetros!E12)</f>
        <v>0</v>
      </c>
      <c r="H87" s="245">
        <f>G87*(1+Parâmetros!F11)*(1+Parâmetros!F12)</f>
        <v>0</v>
      </c>
      <c r="I87" s="245">
        <f>H87*(1+Parâmetros!G11)*(1+Parâmetros!G12)</f>
        <v>0</v>
      </c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</row>
    <row r="88" spans="1:177" ht="25.5">
      <c r="A88" s="243" t="s">
        <v>354</v>
      </c>
      <c r="B88" s="244" t="s">
        <v>295</v>
      </c>
      <c r="C88" s="86">
        <v>0</v>
      </c>
      <c r="D88" s="86">
        <v>0</v>
      </c>
      <c r="E88" s="86">
        <v>0</v>
      </c>
      <c r="F88" s="86">
        <v>0</v>
      </c>
      <c r="G88" s="245">
        <f>(((D88*(1+Parâmetros!B11)*(1+Parâmetros!C11)*(1+Parâmetros!D11))+(E88*(1+Parâmetros!C11)*(1+Parâmetros!D11)+(F88*(1+Parâmetros!D11))))/3)*(1+Parâmetros!E11)*(1+Parâmetros!E12)</f>
        <v>0</v>
      </c>
      <c r="H88" s="245">
        <f>G88*(1+Parâmetros!F11)*(1+Parâmetros!F12)</f>
        <v>0</v>
      </c>
      <c r="I88" s="245">
        <f>H88*(1+Parâmetros!G11)*(1+Parâmetros!G12)</f>
        <v>0</v>
      </c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</row>
    <row r="89" spans="1:177" ht="12.75">
      <c r="A89" s="243" t="s">
        <v>355</v>
      </c>
      <c r="B89" s="244" t="s">
        <v>316</v>
      </c>
      <c r="C89" s="86">
        <v>0</v>
      </c>
      <c r="D89" s="86">
        <v>0</v>
      </c>
      <c r="E89" s="86">
        <v>0</v>
      </c>
      <c r="F89" s="86">
        <v>0</v>
      </c>
      <c r="G89" s="245">
        <f>(((D89*(1+Parâmetros!B11)*(1+Parâmetros!C11)*(1+Parâmetros!D11))+(E89*(1+Parâmetros!C11)*(1+Parâmetros!D11)+(F89*(1+Parâmetros!D11))))/3)*(1+Parâmetros!E11)*(1+Parâmetros!E12)</f>
        <v>0</v>
      </c>
      <c r="H89" s="245">
        <f>G89*(1+Parâmetros!F11)*(1+Parâmetros!F12)</f>
        <v>0</v>
      </c>
      <c r="I89" s="245">
        <f>H89*(1+Parâmetros!G11)*(1+Parâmetros!G12)</f>
        <v>0</v>
      </c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</row>
    <row r="90" spans="1:177" ht="12.75">
      <c r="A90" s="243" t="s">
        <v>356</v>
      </c>
      <c r="B90" s="244" t="s">
        <v>318</v>
      </c>
      <c r="C90" s="86">
        <v>0</v>
      </c>
      <c r="D90" s="86">
        <v>0</v>
      </c>
      <c r="E90" s="86">
        <v>0</v>
      </c>
      <c r="F90" s="86">
        <v>0</v>
      </c>
      <c r="G90" s="245">
        <f>(((D90*(1+Parâmetros!B11)*(1+Parâmetros!C11)*(1+Parâmetros!D11))+(E90*(1+Parâmetros!C11)*(1+Parâmetros!D11)+(F90*(1+Parâmetros!D11))))/3)*(1+Parâmetros!E11)*(1+Parâmetros!E12)</f>
        <v>0</v>
      </c>
      <c r="H90" s="245">
        <f>G90*(1+Parâmetros!F11)*(1+Parâmetros!F12)</f>
        <v>0</v>
      </c>
      <c r="I90" s="245">
        <f>H90*(1+Parâmetros!G11)*(1+Parâmetros!G12)</f>
        <v>0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</row>
    <row r="91" spans="1:177" ht="12.75">
      <c r="A91" s="243" t="s">
        <v>357</v>
      </c>
      <c r="B91" s="244" t="s">
        <v>319</v>
      </c>
      <c r="C91" s="86">
        <v>0</v>
      </c>
      <c r="D91" s="86">
        <v>0</v>
      </c>
      <c r="E91" s="86">
        <v>0</v>
      </c>
      <c r="F91" s="86">
        <v>0</v>
      </c>
      <c r="G91" s="245">
        <f>(((D91*(1+Parâmetros!B11)*(1+Parâmetros!C11)*(1+Parâmetros!D11))+(E91*(1+Parâmetros!C11)*(1+Parâmetros!D11)+(F91*(1+Parâmetros!D11))))/3)*(1+Parâmetros!E11)*(1+Parâmetros!E12)</f>
        <v>0</v>
      </c>
      <c r="H91" s="245">
        <f>G91:G92*(1+Parâmetros!F11)*(1+Parâmetros!F12)</f>
        <v>0</v>
      </c>
      <c r="I91" s="245">
        <f>H91:H92*(1+Parâmetros!G11)*(1+Parâmetros!G12)</f>
        <v>0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</row>
    <row r="92" spans="1:177" ht="12.75">
      <c r="A92" s="243" t="s">
        <v>358</v>
      </c>
      <c r="B92" s="244" t="s">
        <v>321</v>
      </c>
      <c r="C92" s="86">
        <v>0</v>
      </c>
      <c r="D92" s="86">
        <v>0</v>
      </c>
      <c r="E92" s="86">
        <v>0</v>
      </c>
      <c r="F92" s="86">
        <v>0</v>
      </c>
      <c r="G92" s="245">
        <f>(((D92*(1+Parâmetros!B11)*(1+Parâmetros!C11)*(1+Parâmetros!D11))+(E92*(1+Parâmetros!C11)*(1+Parâmetros!D11)+(F92*(1+Parâmetros!D11))))/3)*(1+Parâmetros!E11)*(1+Parâmetros!E12)</f>
        <v>0</v>
      </c>
      <c r="H92" s="245">
        <f>G92*(1+Parâmetros!F11)*(1+Parâmetros!F12)</f>
        <v>0</v>
      </c>
      <c r="I92" s="245">
        <f>H92*(1+Parâmetros!G11)*(1+Parâmetros!G12)</f>
        <v>0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</row>
    <row r="93" spans="1:177" ht="12.75">
      <c r="A93" s="243" t="s">
        <v>359</v>
      </c>
      <c r="B93" s="244" t="s">
        <v>323</v>
      </c>
      <c r="C93" s="86">
        <v>0</v>
      </c>
      <c r="D93" s="86">
        <v>0</v>
      </c>
      <c r="E93" s="86">
        <v>0</v>
      </c>
      <c r="F93" s="86">
        <v>0</v>
      </c>
      <c r="G93" s="245">
        <f>(((D93*(1+Parâmetros!B11)*(1+Parâmetros!C11)*(1+Parâmetros!D11))+(E93*(1+Parâmetros!C11)*(1+Parâmetros!D11)+(F93*(1+Parâmetros!D11))))/3)*(1+Parâmetros!E11)*(1+Parâmetros!E12)</f>
        <v>0</v>
      </c>
      <c r="H93" s="245">
        <f>G93*(1+Parâmetros!F11)*(1+Parâmetros!F12)</f>
        <v>0</v>
      </c>
      <c r="I93" s="245">
        <f>H93*(1+Parâmetros!G11)*(1+Parâmetros!G12)</f>
        <v>0</v>
      </c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</row>
    <row r="94" spans="1:177" s="7" customFormat="1" ht="12.75">
      <c r="A94" s="240" t="s">
        <v>360</v>
      </c>
      <c r="B94" s="241" t="s">
        <v>361</v>
      </c>
      <c r="C94" s="242">
        <f aca="true" t="shared" si="17" ref="C94:I94">C95+C96</f>
        <v>0</v>
      </c>
      <c r="D94" s="242">
        <f t="shared" si="17"/>
        <v>0</v>
      </c>
      <c r="E94" s="242">
        <f t="shared" si="17"/>
        <v>0</v>
      </c>
      <c r="F94" s="242">
        <f t="shared" si="17"/>
        <v>0</v>
      </c>
      <c r="G94" s="242">
        <f t="shared" si="17"/>
        <v>0</v>
      </c>
      <c r="H94" s="242">
        <f t="shared" si="17"/>
        <v>0</v>
      </c>
      <c r="I94" s="242">
        <f t="shared" si="17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</row>
    <row r="95" spans="1:177" ht="25.5">
      <c r="A95" s="243" t="s">
        <v>362</v>
      </c>
      <c r="B95" s="246" t="s">
        <v>363</v>
      </c>
      <c r="C95" s="86">
        <v>0</v>
      </c>
      <c r="D95" s="86">
        <v>0</v>
      </c>
      <c r="E95" s="86">
        <v>0</v>
      </c>
      <c r="F95" s="86">
        <v>0</v>
      </c>
      <c r="G95" s="245">
        <f>(((D95*(1+Parâmetros!B11)*(1+Parâmetros!C11)*(1+Parâmetros!D11))+(E95*(1+Parâmetros!C11)*(1+Parâmetros!D11)+(F95*(1+Parâmetros!D11))))/3)*(1+Parâmetros!E11)</f>
        <v>0</v>
      </c>
      <c r="H95" s="245">
        <f>G95*(1+Parâmetros!F11)</f>
        <v>0</v>
      </c>
      <c r="I95" s="245">
        <f>H95*(1+Parâmetros!G11)</f>
        <v>0</v>
      </c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</row>
    <row r="96" spans="1:177" ht="12.75">
      <c r="A96" s="243" t="s">
        <v>364</v>
      </c>
      <c r="B96" s="246" t="s">
        <v>365</v>
      </c>
      <c r="C96" s="86">
        <v>0</v>
      </c>
      <c r="D96" s="86">
        <v>0</v>
      </c>
      <c r="E96" s="86">
        <v>0</v>
      </c>
      <c r="F96" s="86">
        <v>0</v>
      </c>
      <c r="G96" s="245">
        <f>(((D96*(1+Parâmetros!B11)*(1+Parâmetros!C11)*(1+Parâmetros!D11))+(E96*(1+Parâmetros!C11)*(1+Parâmetros!D11)+(F96*(1+Parâmetros!D11))))/3)*(1+Parâmetros!E11)</f>
        <v>0</v>
      </c>
      <c r="H96" s="245">
        <f>G96*(1+Parâmetros!F11)</f>
        <v>0</v>
      </c>
      <c r="I96" s="245">
        <f>H96*(1+Parâmetros!G11)</f>
        <v>0</v>
      </c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</row>
    <row r="97" spans="1:9" s="90" customFormat="1" ht="18">
      <c r="A97" s="247" t="s">
        <v>366</v>
      </c>
      <c r="B97" s="244" t="s">
        <v>395</v>
      </c>
      <c r="C97" s="86">
        <v>0</v>
      </c>
      <c r="D97" s="86">
        <v>0</v>
      </c>
      <c r="E97" s="86">
        <v>0</v>
      </c>
      <c r="F97" s="86">
        <v>0</v>
      </c>
      <c r="G97" s="245">
        <f>(((D97*(1+Parâmetros!B11)*(1+Parâmetros!C11)*(1+Parâmetros!D11))+(E97*(1+Parâmetros!C11)*(1+Parâmetros!D11)+(F97*(1+Parâmetros!D11))))/3)*(1+Parâmetros!E11)*(1+Parâmetros!E13)*(1+Parâmetros!E18)</f>
        <v>0</v>
      </c>
      <c r="H97" s="245">
        <f>G97*(1+Parâmetros!F11)*(1+Parâmetros!F13)*(1+Parâmetros!F18)</f>
        <v>0</v>
      </c>
      <c r="I97" s="245">
        <f>H97*(1+Parâmetros!G11)*(1+Parâmetros!G13)*(1+Parâmetros!G18)</f>
        <v>0</v>
      </c>
    </row>
    <row r="98" spans="1:9" s="90" customFormat="1" ht="18">
      <c r="A98" s="243" t="s">
        <v>367</v>
      </c>
      <c r="B98" s="244" t="s">
        <v>368</v>
      </c>
      <c r="C98" s="86">
        <v>0</v>
      </c>
      <c r="D98" s="86">
        <v>0</v>
      </c>
      <c r="E98" s="86">
        <v>0</v>
      </c>
      <c r="F98" s="86">
        <v>0</v>
      </c>
      <c r="G98" s="245">
        <f>(((D98*(1+Parâmetros!B11)*(1+Parâmetros!C11)*(1+Parâmetros!D11))+(E98*(1+Parâmetros!C11)*(1+Parâmetros!D11)+(F98*(1+Parâmetros!D11))))/3)*(1+Parâmetros!E11)</f>
        <v>0</v>
      </c>
      <c r="H98" s="245"/>
      <c r="I98" s="245"/>
    </row>
    <row r="99" spans="1:177" s="10" customFormat="1" ht="30.75" customHeight="1">
      <c r="A99" s="240" t="s">
        <v>369</v>
      </c>
      <c r="B99" s="241" t="s">
        <v>646</v>
      </c>
      <c r="C99" s="242">
        <f aca="true" t="shared" si="18" ref="C99:I99">C100+C101+C102+C103</f>
        <v>-2710354.366</v>
      </c>
      <c r="D99" s="242">
        <f t="shared" si="18"/>
        <v>-3046863.114</v>
      </c>
      <c r="E99" s="242">
        <f t="shared" si="18"/>
        <v>-3131771.674</v>
      </c>
      <c r="F99" s="242">
        <f t="shared" si="18"/>
        <v>-3352406.9700000007</v>
      </c>
      <c r="G99" s="242">
        <f t="shared" si="18"/>
        <v>-3663575.6042669117</v>
      </c>
      <c r="H99" s="242">
        <f t="shared" si="18"/>
        <v>-3963876.894358928</v>
      </c>
      <c r="I99" s="242">
        <f t="shared" si="18"/>
        <v>-4305848.336892759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</row>
    <row r="100" spans="1:177" ht="12.75">
      <c r="A100" s="243" t="s">
        <v>370</v>
      </c>
      <c r="B100" s="244" t="s">
        <v>647</v>
      </c>
      <c r="C100" s="40">
        <v>0</v>
      </c>
      <c r="D100" s="40">
        <v>0</v>
      </c>
      <c r="E100" s="40">
        <v>0</v>
      </c>
      <c r="F100" s="40">
        <v>0</v>
      </c>
      <c r="G100" s="245">
        <f>(((D100*(1+Parâmetros!B11)*(1+Parâmetros!C11)*(1+Parâmetros!D11))+(E100*(1+Parâmetros!C11)*(1+Parâmetros!D11)+(F100*(1+Parâmetros!D11))))/3)*(1+Parâmetros!E11)</f>
        <v>0</v>
      </c>
      <c r="H100" s="245">
        <f>G100*(1+Parâmetros!F11)</f>
        <v>0</v>
      </c>
      <c r="I100" s="245">
        <f>H100*(1+Parâmetros!G11)</f>
        <v>0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</row>
    <row r="101" spans="1:177" ht="12.75">
      <c r="A101" s="240" t="s">
        <v>371</v>
      </c>
      <c r="B101" s="241" t="s">
        <v>372</v>
      </c>
      <c r="C101" s="249">
        <f aca="true" t="shared" si="19" ref="C101:I101">-((C41+C44+C49+C52+C53+C54)*0.2)</f>
        <v>-2710354.366</v>
      </c>
      <c r="D101" s="249">
        <f t="shared" si="19"/>
        <v>-3046863.114</v>
      </c>
      <c r="E101" s="249">
        <f t="shared" si="19"/>
        <v>-3131771.674</v>
      </c>
      <c r="F101" s="249">
        <f t="shared" si="19"/>
        <v>-3352406.9700000007</v>
      </c>
      <c r="G101" s="249">
        <f t="shared" si="19"/>
        <v>-3663575.6042669117</v>
      </c>
      <c r="H101" s="249">
        <f t="shared" si="19"/>
        <v>-3963876.894358928</v>
      </c>
      <c r="I101" s="249">
        <f t="shared" si="19"/>
        <v>-4305848.336892759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</row>
    <row r="102" spans="1:177" ht="25.5">
      <c r="A102" s="243" t="s">
        <v>373</v>
      </c>
      <c r="B102" s="244" t="s">
        <v>648</v>
      </c>
      <c r="C102" s="40">
        <v>0</v>
      </c>
      <c r="D102" s="40">
        <v>0</v>
      </c>
      <c r="E102" s="40">
        <v>0</v>
      </c>
      <c r="F102" s="40">
        <v>0</v>
      </c>
      <c r="G102" s="245">
        <f>(((D102*(1+Parâmetros!B11)*(1+Parâmetros!C11)*(1+Parâmetros!D11))+(E102*(1+Parâmetros!C11)*(1+Parâmetros!D11)+(F102*(1+Parâmetros!D11))))/3)*(1+Parâmetros!E11)</f>
        <v>0</v>
      </c>
      <c r="H102" s="245">
        <f>G102*(1+Parâmetros!F11)</f>
        <v>0</v>
      </c>
      <c r="I102" s="245">
        <f>H102*(1+Parâmetros!G11)</f>
        <v>0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</row>
    <row r="103" spans="1:177" ht="25.5">
      <c r="A103" s="243" t="s">
        <v>374</v>
      </c>
      <c r="B103" s="244" t="s">
        <v>649</v>
      </c>
      <c r="C103" s="40">
        <v>0</v>
      </c>
      <c r="D103" s="40">
        <v>0</v>
      </c>
      <c r="E103" s="40">
        <v>0</v>
      </c>
      <c r="F103" s="40">
        <v>0</v>
      </c>
      <c r="G103" s="245">
        <f>(((D103*(1+Parâmetros!B11)*(1+Parâmetros!C11)*(1+Parâmetros!D11))+(E103*(1+Parâmetros!C11)*(1+Parâmetros!D11)+(F103*(1+Parâmetros!D11))))/3)*(1+Parâmetros!E11)</f>
        <v>0</v>
      </c>
      <c r="H103" s="245">
        <f>G103*(1+Parâmetros!F11)</f>
        <v>0</v>
      </c>
      <c r="I103" s="245">
        <f>H103*(1+Parâmetros!G11)</f>
        <v>0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</row>
    <row r="104" spans="1:177" ht="12.75">
      <c r="A104" s="250"/>
      <c r="B104" s="251"/>
      <c r="C104" s="248"/>
      <c r="D104" s="248"/>
      <c r="E104" s="248"/>
      <c r="F104" s="248"/>
      <c r="G104" s="245"/>
      <c r="H104" s="245"/>
      <c r="I104" s="245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</row>
    <row r="105" spans="1:177" s="9" customFormat="1" ht="25.5" customHeight="1">
      <c r="A105" s="252"/>
      <c r="B105" s="253" t="s">
        <v>526</v>
      </c>
      <c r="C105" s="249">
        <f aca="true" t="shared" si="20" ref="C105:I105">C8+C78+C97+C98+C99</f>
        <v>17621096.793999996</v>
      </c>
      <c r="D105" s="249">
        <f t="shared" si="20"/>
        <v>18669923.505999997</v>
      </c>
      <c r="E105" s="249">
        <f t="shared" si="20"/>
        <v>19506814.796000008</v>
      </c>
      <c r="F105" s="249">
        <f t="shared" si="20"/>
        <v>21092039.4</v>
      </c>
      <c r="G105" s="249">
        <f t="shared" si="20"/>
        <v>22970045.68066136</v>
      </c>
      <c r="H105" s="249">
        <f t="shared" si="20"/>
        <v>25363191.78526108</v>
      </c>
      <c r="I105" s="249">
        <f t="shared" si="20"/>
        <v>28096572.705153227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</row>
    <row r="106" spans="1:177" ht="12.75">
      <c r="A106" s="54"/>
      <c r="B106" s="54"/>
      <c r="C106" s="55"/>
      <c r="D106" s="55"/>
      <c r="E106" s="55"/>
      <c r="F106" s="55"/>
      <c r="G106" s="107"/>
      <c r="H106" s="107"/>
      <c r="I106" s="10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</row>
    <row r="107" spans="1:177" ht="15.75">
      <c r="A107" s="495" t="str">
        <f>Parâmetros!A7</f>
        <v>Município de Barra do Quaraí</v>
      </c>
      <c r="B107" s="493"/>
      <c r="C107" s="493"/>
      <c r="D107" s="493"/>
      <c r="E107" s="493"/>
      <c r="F107" s="493"/>
      <c r="G107" s="493"/>
      <c r="H107" s="493"/>
      <c r="I107" s="493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</row>
    <row r="108" spans="1:177" ht="15.75">
      <c r="A108" s="494" t="str">
        <f>Parâmetros!A8</f>
        <v>LEI DE DIRETRIZES ORÇAMENTÁRIAS  PARA 2019</v>
      </c>
      <c r="B108" s="493"/>
      <c r="C108" s="493"/>
      <c r="D108" s="493"/>
      <c r="E108" s="493"/>
      <c r="F108" s="493"/>
      <c r="G108" s="493"/>
      <c r="H108" s="493"/>
      <c r="I108" s="493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</row>
    <row r="109" spans="1:177" ht="15.75">
      <c r="A109" s="492" t="s">
        <v>524</v>
      </c>
      <c r="B109" s="493"/>
      <c r="C109" s="493"/>
      <c r="D109" s="493"/>
      <c r="E109" s="493"/>
      <c r="F109" s="493"/>
      <c r="G109" s="493"/>
      <c r="H109" s="493"/>
      <c r="I109" s="493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</row>
    <row r="110" spans="1:177" ht="15">
      <c r="A110" s="54"/>
      <c r="B110" s="54"/>
      <c r="C110" s="55"/>
      <c r="D110" s="55"/>
      <c r="E110" s="55"/>
      <c r="F110" s="55"/>
      <c r="G110" s="107"/>
      <c r="H110" s="107"/>
      <c r="I110" s="19" t="s">
        <v>55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</row>
    <row r="111" spans="1:177" s="1" customFormat="1" ht="15.75">
      <c r="A111" s="257"/>
      <c r="B111" s="258" t="s">
        <v>0</v>
      </c>
      <c r="C111" s="259" t="s">
        <v>522</v>
      </c>
      <c r="D111" s="259" t="s">
        <v>522</v>
      </c>
      <c r="E111" s="259" t="s">
        <v>522</v>
      </c>
      <c r="F111" s="260" t="s">
        <v>523</v>
      </c>
      <c r="G111" s="260" t="s">
        <v>12</v>
      </c>
      <c r="H111" s="261" t="s">
        <v>12</v>
      </c>
      <c r="I111" s="262" t="s">
        <v>12</v>
      </c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</row>
    <row r="112" spans="1:177" s="1" customFormat="1" ht="27.75" customHeight="1">
      <c r="A112" s="263"/>
      <c r="B112" s="264" t="s">
        <v>8</v>
      </c>
      <c r="C112" s="265">
        <f>C7</f>
        <v>2015</v>
      </c>
      <c r="D112" s="266">
        <f aca="true" t="shared" si="21" ref="D112:I112">C112+1</f>
        <v>2016</v>
      </c>
      <c r="E112" s="266">
        <f t="shared" si="21"/>
        <v>2017</v>
      </c>
      <c r="F112" s="266">
        <f t="shared" si="21"/>
        <v>2018</v>
      </c>
      <c r="G112" s="266">
        <f t="shared" si="21"/>
        <v>2019</v>
      </c>
      <c r="H112" s="266">
        <f t="shared" si="21"/>
        <v>2020</v>
      </c>
      <c r="I112" s="266">
        <f t="shared" si="21"/>
        <v>2021</v>
      </c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</row>
    <row r="113" spans="1:177" s="92" customFormat="1" ht="15.75">
      <c r="A113" s="254" t="s">
        <v>42</v>
      </c>
      <c r="B113" s="255" t="s">
        <v>1</v>
      </c>
      <c r="C113" s="256">
        <f aca="true" t="shared" si="22" ref="C113:I113">C114+C118+C122</f>
        <v>13773949.24</v>
      </c>
      <c r="D113" s="256">
        <f t="shared" si="22"/>
        <v>16319448.12</v>
      </c>
      <c r="E113" s="256">
        <f t="shared" si="22"/>
        <v>17558040.78</v>
      </c>
      <c r="F113" s="256">
        <f t="shared" si="22"/>
        <v>20268039.4</v>
      </c>
      <c r="G113" s="256">
        <f t="shared" si="22"/>
        <v>21153574.685363844</v>
      </c>
      <c r="H113" s="256">
        <f t="shared" si="22"/>
        <v>23406597.009995688</v>
      </c>
      <c r="I113" s="256">
        <f t="shared" si="22"/>
        <v>25910291.717780687</v>
      </c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</row>
    <row r="114" spans="1:177" s="92" customFormat="1" ht="15.75">
      <c r="A114" s="254" t="s">
        <v>43</v>
      </c>
      <c r="B114" s="255" t="s">
        <v>44</v>
      </c>
      <c r="C114" s="256">
        <f>C115+C116+C117</f>
        <v>8846212.76</v>
      </c>
      <c r="D114" s="256">
        <f aca="true" t="shared" si="23" ref="D114:I114">D115+D116+D117</f>
        <v>10208848.12</v>
      </c>
      <c r="E114" s="256">
        <f t="shared" si="23"/>
        <v>10916136.12</v>
      </c>
      <c r="F114" s="256">
        <f>F115+F116+F117</f>
        <v>11983646.4</v>
      </c>
      <c r="G114" s="256">
        <f t="shared" si="23"/>
        <v>12899844.040423939</v>
      </c>
      <c r="H114" s="256">
        <f t="shared" si="23"/>
        <v>14224486.742112938</v>
      </c>
      <c r="I114" s="256">
        <f t="shared" si="23"/>
        <v>15668206.29233211</v>
      </c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</row>
    <row r="115" spans="1:177" s="8" customFormat="1" ht="15">
      <c r="A115" s="267" t="s">
        <v>43</v>
      </c>
      <c r="B115" s="268" t="s">
        <v>375</v>
      </c>
      <c r="C115" s="91">
        <v>8846212.76</v>
      </c>
      <c r="D115" s="91">
        <v>10208848.12</v>
      </c>
      <c r="E115" s="91">
        <v>10916136.12</v>
      </c>
      <c r="F115" s="91">
        <v>11983646.4</v>
      </c>
      <c r="G115" s="245">
        <f>(((D115*(1+Parâmetros!B11)*(1+Parâmetros!C11)*(1+Parâmetros!D11))+(E115*(1+Parâmetros!C11)*(1+Parâmetros!D11)+(F115*(1+Parâmetros!D11))))/3)*(1+Parâmetros!E11)*(1+Parâmetros!E13)*(1+Parâmetros!E18)</f>
        <v>12899844.040423939</v>
      </c>
      <c r="H115" s="269">
        <f>G115*(1+Parâmetros!F11)*(1+Parâmetros!F13)*(1+Parâmetros!F18)</f>
        <v>14224486.742112938</v>
      </c>
      <c r="I115" s="269">
        <f>H115*(1+Parâmetros!G11)*(1+Parâmetros!G13)*(1+Parâmetros!G18)</f>
        <v>15668206.29233211</v>
      </c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  <c r="FO115" s="101"/>
      <c r="FP115" s="101"/>
      <c r="FQ115" s="101"/>
      <c r="FR115" s="101"/>
      <c r="FS115" s="101"/>
      <c r="FT115" s="101"/>
      <c r="FU115" s="101"/>
    </row>
    <row r="116" spans="1:177" s="8" customFormat="1" ht="15">
      <c r="A116" s="267" t="s">
        <v>43</v>
      </c>
      <c r="B116" s="268" t="s">
        <v>376</v>
      </c>
      <c r="C116" s="91">
        <v>0</v>
      </c>
      <c r="D116" s="91">
        <v>0</v>
      </c>
      <c r="E116" s="91">
        <v>0</v>
      </c>
      <c r="F116" s="91">
        <v>0</v>
      </c>
      <c r="G116" s="245">
        <f>(((D116*(1+Parâmetros!B11)*(1+Parâmetros!C11)*(1+Parâmetros!D11))+(E116*(1+Parâmetros!C11)*(1+Parâmetros!D11)+(F116*(1+Parâmetros!D11))))/3)*(1+Parâmetros!E11)*(1+Parâmetros!E13)*(1+Parâmetros!E19)</f>
        <v>0</v>
      </c>
      <c r="H116" s="269">
        <f>G116*(1+Parâmetros!F11)*(1+Parâmetros!F13)*(1+Parâmetros!F19)</f>
        <v>0</v>
      </c>
      <c r="I116" s="269">
        <f>H116*(1+Parâmetros!G11)*(1+Parâmetros!G13)*(1+Parâmetros!G19)</f>
        <v>0</v>
      </c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</row>
    <row r="117" spans="1:177" s="8" customFormat="1" ht="14.25" customHeight="1">
      <c r="A117" s="267" t="s">
        <v>43</v>
      </c>
      <c r="B117" s="268" t="s">
        <v>209</v>
      </c>
      <c r="C117" s="91">
        <v>0</v>
      </c>
      <c r="D117" s="91">
        <v>0</v>
      </c>
      <c r="E117" s="91">
        <v>0</v>
      </c>
      <c r="F117" s="91">
        <v>0</v>
      </c>
      <c r="G117" s="245">
        <f>(((D117*(1+Parâmetros!B11)*(1+Parâmetros!C11)*(1+Parâmetros!D11))+(E117*(1+Parâmetros!C11)*(1+Parâmetros!D11)+(F117*(1+Parâmetros!D11))))/3)*(1+Parâmetros!E11)*(1+Parâmetros!E13)*(1+Parâmetros!E18)</f>
        <v>0</v>
      </c>
      <c r="H117" s="269">
        <f>G117*(1+Parâmetros!F11)*(1+Parâmetros!F13)*(1+Parâmetros!F18)</f>
        <v>0</v>
      </c>
      <c r="I117" s="269">
        <f>H117*(1+Parâmetros!G11)*(1+Parâmetros!G13)*(1+Parâmetros!G18)</f>
        <v>0</v>
      </c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</row>
    <row r="118" spans="1:177" s="93" customFormat="1" ht="15.75">
      <c r="A118" s="254" t="s">
        <v>45</v>
      </c>
      <c r="B118" s="255" t="s">
        <v>131</v>
      </c>
      <c r="C118" s="256">
        <f aca="true" t="shared" si="24" ref="C118:I118">C119+C120+C121</f>
        <v>0</v>
      </c>
      <c r="D118" s="256">
        <f t="shared" si="24"/>
        <v>0</v>
      </c>
      <c r="E118" s="256">
        <f t="shared" si="24"/>
        <v>0</v>
      </c>
      <c r="F118" s="256">
        <f t="shared" si="24"/>
        <v>0</v>
      </c>
      <c r="G118" s="256">
        <f t="shared" si="24"/>
        <v>0</v>
      </c>
      <c r="H118" s="256">
        <f t="shared" si="24"/>
        <v>0</v>
      </c>
      <c r="I118" s="256">
        <f t="shared" si="24"/>
        <v>0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</row>
    <row r="119" spans="1:177" ht="15">
      <c r="A119" s="267" t="s">
        <v>45</v>
      </c>
      <c r="B119" s="268" t="s">
        <v>377</v>
      </c>
      <c r="C119" s="91">
        <v>0</v>
      </c>
      <c r="D119" s="91">
        <v>0</v>
      </c>
      <c r="E119" s="91">
        <v>0</v>
      </c>
      <c r="F119" s="91">
        <v>0</v>
      </c>
      <c r="G119" s="245">
        <f>(((D119*(1+Parâmetros!B11)*(1+Parâmetros!C11)*(1+Parâmetros!D11))+(E119*(1+Parâmetros!C11)*(1+Parâmetros!D11)+(F119*(1+Parâmetros!D11))))/3)*(1+Parâmetros!E21)</f>
        <v>0</v>
      </c>
      <c r="H119" s="269">
        <f>G119*(1+Parâmetros!F21)</f>
        <v>0</v>
      </c>
      <c r="I119" s="269">
        <f>H119*(1+Parâmetros!G21)</f>
        <v>0</v>
      </c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</row>
    <row r="120" spans="1:177" ht="15">
      <c r="A120" s="267" t="s">
        <v>45</v>
      </c>
      <c r="B120" s="268" t="s">
        <v>378</v>
      </c>
      <c r="C120" s="91">
        <v>0</v>
      </c>
      <c r="D120" s="91">
        <v>0</v>
      </c>
      <c r="E120" s="91">
        <v>0</v>
      </c>
      <c r="F120" s="91">
        <v>0</v>
      </c>
      <c r="G120" s="245">
        <f>(((D120*(1+Parâmetros!B11)*(1+Parâmetros!C11)*(1+Parâmetros!D11))+(E120*(1+Parâmetros!C11)*(1+Parâmetros!D11)+(F120*(1+Parâmetros!D11))))/3)*(1+Parâmetros!E21)</f>
        <v>0</v>
      </c>
      <c r="H120" s="269">
        <f>G120*(1+Parâmetros!F21)</f>
        <v>0</v>
      </c>
      <c r="I120" s="269">
        <f>H120*(1+Parâmetros!G21)</f>
        <v>0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</row>
    <row r="121" spans="1:177" ht="15">
      <c r="A121" s="267" t="s">
        <v>45</v>
      </c>
      <c r="B121" s="268" t="s">
        <v>210</v>
      </c>
      <c r="C121" s="91">
        <v>0</v>
      </c>
      <c r="D121" s="91">
        <v>0</v>
      </c>
      <c r="E121" s="91">
        <v>0</v>
      </c>
      <c r="F121" s="91">
        <v>0</v>
      </c>
      <c r="G121" s="245">
        <f>(((D121*(1+Parâmetros!B11)*(1+Parâmetros!C11)*(1+Parâmetros!D11))+(E121*(1+Parâmetros!C11)*(1+Parâmetros!D11)+(F121*(1+Parâmetros!D11))))/3)*(1+Parâmetros!E21)</f>
        <v>0</v>
      </c>
      <c r="H121" s="269">
        <f>G121*(1+Parâmetros!F21)</f>
        <v>0</v>
      </c>
      <c r="I121" s="269">
        <f>H121*(1+Parâmetros!G21)</f>
        <v>0</v>
      </c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</row>
    <row r="122" spans="1:177" s="92" customFormat="1" ht="15.75">
      <c r="A122" s="254" t="s">
        <v>46</v>
      </c>
      <c r="B122" s="255" t="s">
        <v>47</v>
      </c>
      <c r="C122" s="256">
        <f aca="true" t="shared" si="25" ref="C122:I122">C123+C124+C125</f>
        <v>4927736.48</v>
      </c>
      <c r="D122" s="256">
        <f t="shared" si="25"/>
        <v>6110600</v>
      </c>
      <c r="E122" s="256">
        <f t="shared" si="25"/>
        <v>6641904.66</v>
      </c>
      <c r="F122" s="256">
        <f t="shared" si="25"/>
        <v>8284393</v>
      </c>
      <c r="G122" s="256">
        <f t="shared" si="25"/>
        <v>8253730.644939907</v>
      </c>
      <c r="H122" s="256">
        <f t="shared" si="25"/>
        <v>9182110.26788275</v>
      </c>
      <c r="I122" s="256">
        <f t="shared" si="25"/>
        <v>10242085.425448578</v>
      </c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</row>
    <row r="123" spans="1:177" s="8" customFormat="1" ht="15">
      <c r="A123" s="267" t="s">
        <v>46</v>
      </c>
      <c r="B123" s="268" t="s">
        <v>379</v>
      </c>
      <c r="C123" s="91">
        <v>4927736.48</v>
      </c>
      <c r="D123" s="91">
        <v>6110600</v>
      </c>
      <c r="E123" s="91">
        <v>6641904.66</v>
      </c>
      <c r="F123" s="91">
        <v>8284393</v>
      </c>
      <c r="G123" s="245">
        <f>(((D123*(1+Parâmetros!B11)*(1+Parâmetros!C11)*(1+Parâmetros!D11))+(E123*(1+Parâmetros!C11)*(1+Parâmetros!D11)+(F123*(1+Parâmetros!D11))))/3)*(1+Parâmetros!E11)*(1+Parâmetros!E14)</f>
        <v>8253730.644939907</v>
      </c>
      <c r="H123" s="269">
        <f>G123*(1+Parâmetros!F11)*(1+Parâmetros!F14)</f>
        <v>9182110.26788275</v>
      </c>
      <c r="I123" s="269">
        <f>H123*(1+Parâmetros!G11)*(1+Parâmetros!G14)</f>
        <v>10242085.425448578</v>
      </c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</row>
    <row r="124" spans="1:177" s="8" customFormat="1" ht="15">
      <c r="A124" s="267" t="s">
        <v>46</v>
      </c>
      <c r="B124" s="268" t="s">
        <v>380</v>
      </c>
      <c r="C124" s="91">
        <v>0</v>
      </c>
      <c r="D124" s="91">
        <v>0</v>
      </c>
      <c r="E124" s="91">
        <v>0</v>
      </c>
      <c r="F124" s="91">
        <v>0</v>
      </c>
      <c r="G124" s="245">
        <f>(((D124*(1+Parâmetros!B11)*(1+Parâmetros!C11)*(1+Parâmetros!D11))+(E124*(1+Parâmetros!C11)*(1+Parâmetros!D11)+(F124*(1+Parâmetros!D11))))/3)*(1+Parâmetros!E11)*(1+Parâmetros!E14)</f>
        <v>0</v>
      </c>
      <c r="H124" s="269">
        <f>G124*(1+Parâmetros!F11)*(1+Parâmetros!F14)</f>
        <v>0</v>
      </c>
      <c r="I124" s="269">
        <f>H124*(1+Parâmetros!G11)*(1+Parâmetros!G14)</f>
        <v>0</v>
      </c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</row>
    <row r="125" spans="1:177" s="8" customFormat="1" ht="15">
      <c r="A125" s="267" t="s">
        <v>46</v>
      </c>
      <c r="B125" s="268" t="s">
        <v>381</v>
      </c>
      <c r="C125" s="91">
        <v>0</v>
      </c>
      <c r="D125" s="91">
        <v>0</v>
      </c>
      <c r="E125" s="91">
        <v>0</v>
      </c>
      <c r="F125" s="91">
        <v>0</v>
      </c>
      <c r="G125" s="245">
        <f>(((D125*(1+Parâmetros!B11)*(1+Parâmetros!C11)*(1+Parâmetros!D11))+(E125*(1+Parâmetros!C11)*(1+Parâmetros!D11)+(F125*(1+Parâmetros!D11))))/3)*(1+Parâmetros!E11)*(1+Parâmetros!E14)</f>
        <v>0</v>
      </c>
      <c r="H125" s="269">
        <f>G125*(1+Parâmetros!F11)*(1+Parâmetros!F14)</f>
        <v>0</v>
      </c>
      <c r="I125" s="269">
        <f>H125*(1+Parâmetros!G11)*(1+Parâmetros!G14)</f>
        <v>0</v>
      </c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</row>
    <row r="126" spans="1:177" s="92" customFormat="1" ht="15.75">
      <c r="A126" s="254" t="s">
        <v>48</v>
      </c>
      <c r="B126" s="255" t="s">
        <v>2</v>
      </c>
      <c r="C126" s="256">
        <f aca="true" t="shared" si="26" ref="C126:I126">C127+C131+C135</f>
        <v>1022148.53</v>
      </c>
      <c r="D126" s="256">
        <f t="shared" si="26"/>
        <v>565841.72</v>
      </c>
      <c r="E126" s="256">
        <f t="shared" si="26"/>
        <v>524391.26</v>
      </c>
      <c r="F126" s="256">
        <f t="shared" si="26"/>
        <v>824000</v>
      </c>
      <c r="G126" s="256">
        <f t="shared" si="26"/>
        <v>1526073.6954665654</v>
      </c>
      <c r="H126" s="256">
        <f t="shared" si="26"/>
        <v>1943123.828967586</v>
      </c>
      <c r="I126" s="256">
        <f t="shared" si="26"/>
        <v>2640959.066014677</v>
      </c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</row>
    <row r="127" spans="1:177" s="92" customFormat="1" ht="15.75">
      <c r="A127" s="254" t="s">
        <v>49</v>
      </c>
      <c r="B127" s="255" t="s">
        <v>3</v>
      </c>
      <c r="C127" s="256">
        <f aca="true" t="shared" si="27" ref="C127:I127">C128+C129+C130</f>
        <v>774874.34</v>
      </c>
      <c r="D127" s="256">
        <f t="shared" si="27"/>
        <v>263576.42</v>
      </c>
      <c r="E127" s="256">
        <f t="shared" si="27"/>
        <v>285101.4</v>
      </c>
      <c r="F127" s="256">
        <f t="shared" si="27"/>
        <v>524000</v>
      </c>
      <c r="G127" s="256">
        <f t="shared" si="27"/>
        <v>1221940.8191842881</v>
      </c>
      <c r="H127" s="256">
        <f t="shared" si="27"/>
        <v>1632147.9629689574</v>
      </c>
      <c r="I127" s="256">
        <f t="shared" si="27"/>
        <v>2322208.8033660827</v>
      </c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</row>
    <row r="128" spans="1:177" s="8" customFormat="1" ht="15">
      <c r="A128" s="267" t="s">
        <v>49</v>
      </c>
      <c r="B128" s="268" t="s">
        <v>382</v>
      </c>
      <c r="C128" s="91">
        <v>774874.34</v>
      </c>
      <c r="D128" s="91">
        <v>263576.42</v>
      </c>
      <c r="E128" s="91">
        <v>285101.4</v>
      </c>
      <c r="F128" s="91">
        <v>524000</v>
      </c>
      <c r="G128" s="245">
        <f>(((D128*(1+Parâmetros!B11)*(1+Parâmetros!C11)*(1+Parâmetros!D11))+(E128*(1+Parâmetros!C11)*(1+Parâmetros!D11)+(F128*(1+Parâmetros!D11))))/1)*(1+Parâmetros!E11)*(1+Parâmetros!E20)</f>
        <v>1221940.8191842881</v>
      </c>
      <c r="H128" s="269">
        <f>G128*(1+Parâmetros!F11)*(1+Parâmetros!F20)</f>
        <v>1632147.9629689574</v>
      </c>
      <c r="I128" s="269">
        <f>H128*(1+Parâmetros!G11)*(1+Parâmetros!G20)</f>
        <v>2322208.8033660827</v>
      </c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</row>
    <row r="129" spans="1:177" s="8" customFormat="1" ht="15">
      <c r="A129" s="267" t="s">
        <v>49</v>
      </c>
      <c r="B129" s="268" t="s">
        <v>383</v>
      </c>
      <c r="C129" s="91">
        <v>0</v>
      </c>
      <c r="D129" s="91">
        <v>0</v>
      </c>
      <c r="E129" s="91">
        <v>0</v>
      </c>
      <c r="F129" s="91">
        <v>0</v>
      </c>
      <c r="G129" s="245">
        <f>(((D129*(1+Parâmetros!B11)*(1+Parâmetros!C11)*(1+Parâmetros!D11))+(E129*(1+Parâmetros!C11)*(1+Parâmetros!D11)+(F129*(1+Parâmetros!D11))))/2)*(1+Parâmetros!E11)*(1+Parâmetros!E20)</f>
        <v>0</v>
      </c>
      <c r="H129" s="269">
        <f>G129*(1+Parâmetros!F11)*(1+Parâmetros!F20)</f>
        <v>0</v>
      </c>
      <c r="I129" s="269">
        <f>H129*(1+Parâmetros!G11)*(1+Parâmetros!G20)</f>
        <v>0</v>
      </c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101"/>
      <c r="FL129" s="101"/>
      <c r="FM129" s="101"/>
      <c r="FN129" s="101"/>
      <c r="FO129" s="101"/>
      <c r="FP129" s="101"/>
      <c r="FQ129" s="101"/>
      <c r="FR129" s="101"/>
      <c r="FS129" s="101"/>
      <c r="FT129" s="101"/>
      <c r="FU129" s="101"/>
    </row>
    <row r="130" spans="1:177" s="8" customFormat="1" ht="15">
      <c r="A130" s="267" t="s">
        <v>49</v>
      </c>
      <c r="B130" s="268" t="s">
        <v>211</v>
      </c>
      <c r="C130" s="91">
        <v>0</v>
      </c>
      <c r="D130" s="91">
        <v>0</v>
      </c>
      <c r="E130" s="91">
        <v>0</v>
      </c>
      <c r="F130" s="91">
        <v>0</v>
      </c>
      <c r="G130" s="245">
        <f>(((D130*(1+Parâmetros!B11)*(1+Parâmetros!C11)*(1+Parâmetros!D11))+(E130*(1+Parâmetros!C11)*(1+Parâmetros!D11)+(F130*(1+Parâmetros!D11))))/3)*(1+Parâmetros!E11)*(1+Parâmetros!E20)</f>
        <v>0</v>
      </c>
      <c r="H130" s="269">
        <f>G130*(1+Parâmetros!F11)*(1+Parâmetros!F20)</f>
        <v>0</v>
      </c>
      <c r="I130" s="269">
        <f>H130*(1+Parâmetros!G11)*(1+Parâmetros!G20)</f>
        <v>0</v>
      </c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</row>
    <row r="131" spans="1:177" s="92" customFormat="1" ht="15.75">
      <c r="A131" s="254" t="s">
        <v>50</v>
      </c>
      <c r="B131" s="255" t="s">
        <v>4</v>
      </c>
      <c r="C131" s="256">
        <f aca="true" t="shared" si="28" ref="C131:I131">C132+C133+C134</f>
        <v>0</v>
      </c>
      <c r="D131" s="256">
        <f t="shared" si="28"/>
        <v>0</v>
      </c>
      <c r="E131" s="256">
        <f t="shared" si="28"/>
        <v>0</v>
      </c>
      <c r="F131" s="256">
        <f t="shared" si="28"/>
        <v>0</v>
      </c>
      <c r="G131" s="256">
        <f t="shared" si="28"/>
        <v>0</v>
      </c>
      <c r="H131" s="256">
        <f t="shared" si="28"/>
        <v>0</v>
      </c>
      <c r="I131" s="256">
        <f t="shared" si="28"/>
        <v>0</v>
      </c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1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</row>
    <row r="132" spans="1:177" ht="15">
      <c r="A132" s="267" t="s">
        <v>51</v>
      </c>
      <c r="B132" s="270" t="s">
        <v>52</v>
      </c>
      <c r="C132" s="91">
        <v>0</v>
      </c>
      <c r="D132" s="91">
        <v>0</v>
      </c>
      <c r="E132" s="91">
        <v>0</v>
      </c>
      <c r="F132" s="91">
        <v>0</v>
      </c>
      <c r="G132" s="245">
        <f>(((D132*(1+Parâmetros!B11)*(1+Parâmetros!C11)*(1+Parâmetros!D11))+(E132*(1+Parâmetros!C11)*(1+Parâmetros!D11)+(F132*(1+Parâmetros!D11))))/3)*(1+Parâmetros!E11)</f>
        <v>0</v>
      </c>
      <c r="H132" s="269">
        <f>G132*(1+Parâmetros!F11)</f>
        <v>0</v>
      </c>
      <c r="I132" s="269">
        <f>H132*(1+Parâmetros!G11)</f>
        <v>0</v>
      </c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</row>
    <row r="133" spans="1:177" ht="15">
      <c r="A133" s="267" t="s">
        <v>384</v>
      </c>
      <c r="B133" s="270" t="s">
        <v>385</v>
      </c>
      <c r="C133" s="91">
        <v>0</v>
      </c>
      <c r="D133" s="91">
        <v>0</v>
      </c>
      <c r="E133" s="91">
        <v>0</v>
      </c>
      <c r="F133" s="91">
        <v>0</v>
      </c>
      <c r="G133" s="245">
        <f>(((D133*(1+Parâmetros!B11)*(1+Parâmetros!C11)*(1+Parâmetros!D11))+(E133*(1+Parâmetros!C11)*(1+Parâmetros!D11)+(F133*(1+Parâmetros!D11))))/3)*(1+Parâmetros!E11)</f>
        <v>0</v>
      </c>
      <c r="H133" s="269">
        <f>G133*(1+Parâmetros!F11)</f>
        <v>0</v>
      </c>
      <c r="I133" s="269">
        <f>H133*(1+Parâmetros!G11)</f>
        <v>0</v>
      </c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</row>
    <row r="134" spans="1:177" ht="15">
      <c r="A134" s="267" t="s">
        <v>384</v>
      </c>
      <c r="B134" s="270" t="s">
        <v>386</v>
      </c>
      <c r="C134" s="91">
        <v>0</v>
      </c>
      <c r="D134" s="91">
        <v>0</v>
      </c>
      <c r="E134" s="91">
        <v>0</v>
      </c>
      <c r="F134" s="91">
        <v>0</v>
      </c>
      <c r="G134" s="245">
        <f>(((D134*(1+Parâmetros!B11)*(1+Parâmetros!C11)*(1+Parâmetros!D11))+(E134*(1+Parâmetros!C11)*(1+Parâmetros!D11)+(F134*(1+Parâmetros!D11))))/3)*(1+Parâmetros!E11)</f>
        <v>0</v>
      </c>
      <c r="H134" s="269">
        <f>G134*(1+Parâmetros!F11)</f>
        <v>0</v>
      </c>
      <c r="I134" s="269">
        <f>H134*(1+Parâmetros!G11)</f>
        <v>0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</row>
    <row r="135" spans="1:177" s="92" customFormat="1" ht="15.75">
      <c r="A135" s="254" t="s">
        <v>53</v>
      </c>
      <c r="B135" s="255" t="s">
        <v>54</v>
      </c>
      <c r="C135" s="256">
        <f aca="true" t="shared" si="29" ref="C135:I135">C136+C137+C138</f>
        <v>247274.19</v>
      </c>
      <c r="D135" s="256">
        <f t="shared" si="29"/>
        <v>302265.3</v>
      </c>
      <c r="E135" s="256">
        <f t="shared" si="29"/>
        <v>239289.86</v>
      </c>
      <c r="F135" s="256">
        <f t="shared" si="29"/>
        <v>300000</v>
      </c>
      <c r="G135" s="256">
        <f t="shared" si="29"/>
        <v>304132.8762822773</v>
      </c>
      <c r="H135" s="256">
        <f t="shared" si="29"/>
        <v>310975.8659986285</v>
      </c>
      <c r="I135" s="256">
        <f t="shared" si="29"/>
        <v>318750.26264859416</v>
      </c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1"/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101"/>
      <c r="FE135" s="101"/>
      <c r="FF135" s="101"/>
      <c r="FG135" s="101"/>
      <c r="FH135" s="101"/>
      <c r="FI135" s="101"/>
      <c r="FJ135" s="101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</row>
    <row r="136" spans="1:177" s="8" customFormat="1" ht="15">
      <c r="A136" s="267" t="s">
        <v>53</v>
      </c>
      <c r="B136" s="270" t="s">
        <v>387</v>
      </c>
      <c r="C136" s="91">
        <v>247274.19</v>
      </c>
      <c r="D136" s="91">
        <v>302265.3</v>
      </c>
      <c r="E136" s="91">
        <v>239289.86</v>
      </c>
      <c r="F136" s="91">
        <v>300000</v>
      </c>
      <c r="G136" s="245">
        <f>(((D136*(1+Parâmetros!B11)*(1+Parâmetros!C11)*(1+Parâmetros!D11))+(E136*(1+Parâmetros!C11)*(1+Parâmetros!D11)+(F136*(1+Parâmetros!D11))))/3)*(1+Parâmetros!E11)</f>
        <v>304132.8762822773</v>
      </c>
      <c r="H136" s="269">
        <f>G136*(1+Parâmetros!F11)</f>
        <v>310975.8659986285</v>
      </c>
      <c r="I136" s="269">
        <f>H136*(1+Parâmetros!G11)</f>
        <v>318750.26264859416</v>
      </c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101"/>
      <c r="FG136" s="101"/>
      <c r="FH136" s="101"/>
      <c r="FI136" s="101"/>
      <c r="FJ136" s="101"/>
      <c r="FK136" s="101"/>
      <c r="FL136" s="101"/>
      <c r="FM136" s="101"/>
      <c r="FN136" s="101"/>
      <c r="FO136" s="101"/>
      <c r="FP136" s="101"/>
      <c r="FQ136" s="101"/>
      <c r="FR136" s="101"/>
      <c r="FS136" s="101"/>
      <c r="FT136" s="101"/>
      <c r="FU136" s="101"/>
    </row>
    <row r="137" spans="1:177" s="8" customFormat="1" ht="15">
      <c r="A137" s="267" t="s">
        <v>53</v>
      </c>
      <c r="B137" s="270" t="s">
        <v>388</v>
      </c>
      <c r="C137" s="91">
        <v>0</v>
      </c>
      <c r="D137" s="91">
        <v>0</v>
      </c>
      <c r="E137" s="91">
        <v>0</v>
      </c>
      <c r="F137" s="91">
        <v>0</v>
      </c>
      <c r="G137" s="245">
        <f>(((D137*(1+Parâmetros!B11)*(1+Parâmetros!C11)*(1+Parâmetros!D11))+(E137*(1+Parâmetros!C11)*(1+Parâmetros!D11)+(F137*(1+Parâmetros!D11))))/3)*(1+Parâmetros!E11)</f>
        <v>0</v>
      </c>
      <c r="H137" s="269">
        <f>G137*(1+Parâmetros!F11)</f>
        <v>0</v>
      </c>
      <c r="I137" s="269">
        <f>H137*(1+Parâmetros!G11)</f>
        <v>0</v>
      </c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/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1"/>
      <c r="FF137" s="101"/>
      <c r="FG137" s="101"/>
      <c r="FH137" s="101"/>
      <c r="FI137" s="101"/>
      <c r="FJ137" s="101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</row>
    <row r="138" spans="1:177" s="8" customFormat="1" ht="15">
      <c r="A138" s="267" t="s">
        <v>53</v>
      </c>
      <c r="B138" s="270" t="s">
        <v>389</v>
      </c>
      <c r="C138" s="91">
        <v>0</v>
      </c>
      <c r="D138" s="91">
        <v>0</v>
      </c>
      <c r="E138" s="91">
        <v>0</v>
      </c>
      <c r="F138" s="91">
        <v>0</v>
      </c>
      <c r="G138" s="245">
        <f>(((D138*(1+Parâmetros!B11)*(1+Parâmetros!C11)*(1+Parâmetros!D11))+(E138*(1+Parâmetros!C11)*(1+Parâmetros!D11)+(F138*(1+Parâmetros!D11))))/3)*(1+Parâmetros!E11)</f>
        <v>0</v>
      </c>
      <c r="H138" s="269">
        <f>G138*(1+Parâmetros!F11)</f>
        <v>0</v>
      </c>
      <c r="I138" s="269">
        <f>H138*(1+Parâmetros!G11)</f>
        <v>0</v>
      </c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/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01"/>
      <c r="FL138" s="101"/>
      <c r="FM138" s="101"/>
      <c r="FN138" s="101"/>
      <c r="FO138" s="101"/>
      <c r="FP138" s="101"/>
      <c r="FQ138" s="101"/>
      <c r="FR138" s="101"/>
      <c r="FS138" s="101"/>
      <c r="FT138" s="101"/>
      <c r="FU138" s="101"/>
    </row>
    <row r="139" spans="1:177" s="8" customFormat="1" ht="15">
      <c r="A139" s="267" t="s">
        <v>186</v>
      </c>
      <c r="B139" s="270" t="s">
        <v>132</v>
      </c>
      <c r="C139" s="272"/>
      <c r="D139" s="272"/>
      <c r="E139" s="272"/>
      <c r="F139" s="272"/>
      <c r="G139" s="269">
        <f>((G105-G17-G28-G72-G95-G97)-(G115+G116+G119+G120+G123+G124+G128+G129+G132+G133+G134+G136+G137))</f>
        <v>290397.2998309508</v>
      </c>
      <c r="H139" s="269">
        <f>((H105-H17-H28-H72-H95-H97)-(H115+H116+H119+H120+H123+H124+H128+H129+H132+H133+H134+H136+H137))</f>
        <v>13470.946297805756</v>
      </c>
      <c r="I139" s="269">
        <f>((I105-I17-I28-I72-I95-I97)-(I115+I116+I119+I120+I123+I124+I128+I129+I132+I133+I134+I136+I137))</f>
        <v>-454678.07864213735</v>
      </c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/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101"/>
      <c r="FG139" s="101"/>
      <c r="FH139" s="101"/>
      <c r="FI139" s="101"/>
      <c r="FJ139" s="101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</row>
    <row r="140" spans="1:177" ht="15">
      <c r="A140" s="267" t="s">
        <v>187</v>
      </c>
      <c r="B140" s="268" t="s">
        <v>148</v>
      </c>
      <c r="C140" s="272"/>
      <c r="D140" s="272"/>
      <c r="E140" s="272"/>
      <c r="F140" s="272"/>
      <c r="G140" s="269">
        <f>G17+G28+G72+G95+G97-G117-G121-G125-G130-G138</f>
        <v>0</v>
      </c>
      <c r="H140" s="269">
        <f>H17+H28+H72+H95+H97-H117-H121-H125-H130-H138</f>
        <v>0</v>
      </c>
      <c r="I140" s="269">
        <f>I17+I28+I72+I95+I97-I117-I121-I125-I130-I138</f>
        <v>0</v>
      </c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</row>
    <row r="141" spans="1:177" s="9" customFormat="1" ht="29.25" customHeight="1" thickBot="1">
      <c r="A141" s="271"/>
      <c r="B141" s="108" t="s">
        <v>525</v>
      </c>
      <c r="C141" s="109">
        <f>C113+C126</f>
        <v>14796097.77</v>
      </c>
      <c r="D141" s="109">
        <f>D113+D126</f>
        <v>16885289.84</v>
      </c>
      <c r="E141" s="109">
        <f>E113+E126</f>
        <v>18082432.040000003</v>
      </c>
      <c r="F141" s="109">
        <f>F113+F126</f>
        <v>21092039.4</v>
      </c>
      <c r="G141" s="109">
        <f>G113+G126+G139+G140</f>
        <v>22970045.68066136</v>
      </c>
      <c r="H141" s="109">
        <f>H113+H126+H139+H140</f>
        <v>25363191.78526108</v>
      </c>
      <c r="I141" s="109">
        <f>I113+I126+I139+I140</f>
        <v>28096572.705153227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</row>
    <row r="142" spans="1:177" s="1" customFormat="1" ht="17.25" customHeight="1" hidden="1">
      <c r="A142" s="20"/>
      <c r="B142" s="24" t="s">
        <v>34</v>
      </c>
      <c r="C142" s="94"/>
      <c r="D142" s="95"/>
      <c r="E142" s="95"/>
      <c r="F142" s="95"/>
      <c r="G142" s="95"/>
      <c r="H142" s="95"/>
      <c r="I142" s="95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</row>
    <row r="143" spans="1:177" s="1" customFormat="1" ht="17.25" customHeight="1" hidden="1">
      <c r="A143" s="21"/>
      <c r="B143" s="22" t="s">
        <v>7</v>
      </c>
      <c r="C143" s="23" t="s">
        <v>9</v>
      </c>
      <c r="D143" s="23" t="e">
        <f>IF(#REF!&gt;0,"REALIZADO","PROJETADO")</f>
        <v>#REF!</v>
      </c>
      <c r="E143" s="23" t="e">
        <f>IF(#REF!&gt;0,"REALIZADO","PROJETADO")</f>
        <v>#REF!</v>
      </c>
      <c r="F143" s="23" t="e">
        <f>IF(#REF!&gt;0,"REALIZADO","PROJETADO")</f>
        <v>#REF!</v>
      </c>
      <c r="G143" s="23" t="s">
        <v>12</v>
      </c>
      <c r="H143" s="23"/>
      <c r="I143" s="23" t="s">
        <v>12</v>
      </c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</row>
    <row r="144" spans="1:177" s="1" customFormat="1" ht="17.25" customHeight="1" hidden="1">
      <c r="A144" s="21"/>
      <c r="B144" s="96" t="s">
        <v>6</v>
      </c>
      <c r="C144" s="97">
        <v>1999</v>
      </c>
      <c r="D144" s="97">
        <v>2000</v>
      </c>
      <c r="E144" s="97">
        <v>2001</v>
      </c>
      <c r="F144" s="97">
        <v>2002</v>
      </c>
      <c r="G144" s="97">
        <v>2003</v>
      </c>
      <c r="H144" s="97"/>
      <c r="I144" s="97">
        <v>2004</v>
      </c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</row>
    <row r="145" spans="1:177" s="1" customFormat="1" ht="17.25" customHeight="1" hidden="1">
      <c r="A145" s="21"/>
      <c r="B145" s="24"/>
      <c r="C145" s="25"/>
      <c r="D145" s="25"/>
      <c r="E145" s="25"/>
      <c r="F145" s="25"/>
      <c r="G145" s="25"/>
      <c r="H145" s="25"/>
      <c r="I145" s="25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</row>
    <row r="146" spans="1:177" s="1" customFormat="1" ht="16.5" hidden="1" thickBot="1">
      <c r="A146" s="21"/>
      <c r="B146" s="24" t="s">
        <v>14</v>
      </c>
      <c r="C146" s="26" t="e">
        <f>C8-#REF!-C14+C150-#REF!</f>
        <v>#REF!</v>
      </c>
      <c r="D146" s="26" t="e">
        <f>D8-#REF!-D14+D150-#REF!</f>
        <v>#REF!</v>
      </c>
      <c r="E146" s="26" t="e">
        <f>E8-#REF!-E14+E150-#REF!</f>
        <v>#REF!</v>
      </c>
      <c r="F146" s="26" t="e">
        <f>F8-#REF!-F14+F150-#REF!</f>
        <v>#REF!</v>
      </c>
      <c r="G146" s="26" t="e">
        <f>G8-#REF!-G14+G150-#REF!</f>
        <v>#REF!</v>
      </c>
      <c r="H146" s="26"/>
      <c r="I146" s="26" t="e">
        <f>I8-#REF!-I14+I150-#REF!</f>
        <v>#REF!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</row>
    <row r="147" spans="1:177" s="1" customFormat="1" ht="16.5" hidden="1" thickBot="1">
      <c r="A147" s="21"/>
      <c r="B147" s="24" t="s">
        <v>15</v>
      </c>
      <c r="C147" s="26">
        <f>C9</f>
        <v>995747.3300000001</v>
      </c>
      <c r="D147" s="26">
        <f>D9</f>
        <v>715289.63</v>
      </c>
      <c r="E147" s="26">
        <f>E9</f>
        <v>1244231.7200000002</v>
      </c>
      <c r="F147" s="26">
        <f>F9</f>
        <v>1134802.02</v>
      </c>
      <c r="G147" s="26">
        <f>G9</f>
        <v>1551828.760990532</v>
      </c>
      <c r="H147" s="26"/>
      <c r="I147" s="26">
        <f>I9</f>
        <v>3223948.5507910606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</row>
    <row r="148" spans="1:177" s="1" customFormat="1" ht="16.5" hidden="1" thickBot="1">
      <c r="A148" s="21"/>
      <c r="B148" s="24" t="s">
        <v>16</v>
      </c>
      <c r="C148" s="26" t="e">
        <f>C19+C20+C21+#REF!+#REF!+#REF!+#REF!</f>
        <v>#REF!</v>
      </c>
      <c r="D148" s="26" t="e">
        <f>D19+D20+D21+#REF!+#REF!+#REF!+#REF!</f>
        <v>#REF!</v>
      </c>
      <c r="E148" s="26" t="e">
        <f>E19+E20+E21+#REF!+#REF!+#REF!+#REF!</f>
        <v>#REF!</v>
      </c>
      <c r="F148" s="26" t="e">
        <f>F19+F20+F21+#REF!+#REF!+#REF!+#REF!</f>
        <v>#REF!</v>
      </c>
      <c r="G148" s="26" t="e">
        <f>G19+G20+G21+#REF!+#REF!+#REF!+#REF!</f>
        <v>#REF!</v>
      </c>
      <c r="H148" s="26"/>
      <c r="I148" s="26" t="e">
        <f>I19+I20+I21+#REF!+#REF!+#REF!+#REF!</f>
        <v>#REF!</v>
      </c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</row>
    <row r="149" spans="1:177" s="1" customFormat="1" ht="16.5" hidden="1" thickBot="1">
      <c r="A149" s="21"/>
      <c r="B149" s="24" t="s">
        <v>17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/>
      <c r="I149" s="26" t="e">
        <f>#REF!</f>
        <v>#REF!</v>
      </c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</row>
    <row r="150" spans="1:177" s="1" customFormat="1" ht="16.5" hidden="1" thickBot="1">
      <c r="A150" s="21"/>
      <c r="B150" s="24" t="s">
        <v>18</v>
      </c>
      <c r="C150" s="26" t="e">
        <f>#REF!-#REF!</f>
        <v>#REF!</v>
      </c>
      <c r="D150" s="26" t="e">
        <f>#REF!-#REF!</f>
        <v>#REF!</v>
      </c>
      <c r="E150" s="26" t="e">
        <f>#REF!-#REF!</f>
        <v>#REF!</v>
      </c>
      <c r="F150" s="26" t="e">
        <f>#REF!-#REF!</f>
        <v>#REF!</v>
      </c>
      <c r="G150" s="26" t="e">
        <f>#REF!-#REF!</f>
        <v>#REF!</v>
      </c>
      <c r="H150" s="26"/>
      <c r="I150" s="26" t="e">
        <f>#REF!-#REF!</f>
        <v>#REF!</v>
      </c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</row>
    <row r="151" spans="1:177" s="1" customFormat="1" ht="16.5" hidden="1" thickBot="1">
      <c r="A151" s="21"/>
      <c r="B151" s="24" t="s">
        <v>19</v>
      </c>
      <c r="C151" s="26" t="e">
        <f>#REF!</f>
        <v>#REF!</v>
      </c>
      <c r="D151" s="26" t="e">
        <f>#REF!</f>
        <v>#REF!</v>
      </c>
      <c r="E151" s="26" t="e">
        <f>#REF!</f>
        <v>#REF!</v>
      </c>
      <c r="F151" s="26" t="e">
        <f>#REF!</f>
        <v>#REF!</v>
      </c>
      <c r="G151" s="26" t="e">
        <f>#REF!</f>
        <v>#REF!</v>
      </c>
      <c r="H151" s="26"/>
      <c r="I151" s="26" t="e">
        <f>#REF!</f>
        <v>#REF!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</row>
    <row r="152" spans="1:177" s="1" customFormat="1" ht="16.5" hidden="1" thickBot="1">
      <c r="A152" s="21"/>
      <c r="B152" s="24" t="s">
        <v>20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/>
      <c r="I152" s="26" t="e">
        <f>#REF!</f>
        <v>#REF!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</row>
    <row r="153" spans="1:177" s="1" customFormat="1" ht="16.5" hidden="1" thickBot="1">
      <c r="A153" s="21"/>
      <c r="B153" s="24" t="s">
        <v>21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/>
      <c r="I153" s="26" t="e">
        <f>#REF!</f>
        <v>#REF!</v>
      </c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</row>
    <row r="154" spans="1:177" s="1" customFormat="1" ht="16.5" hidden="1" thickBot="1">
      <c r="A154" s="21"/>
      <c r="B154" s="24" t="s">
        <v>22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/>
      <c r="I154" s="26" t="e">
        <f>#REF!</f>
        <v>#REF!</v>
      </c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</row>
    <row r="155" spans="1:177" s="1" customFormat="1" ht="16.5" hidden="1" thickBot="1">
      <c r="A155" s="21"/>
      <c r="B155" s="24" t="s">
        <v>23</v>
      </c>
      <c r="C155" s="26" t="e">
        <f>#REF!+#REF!+C132+C133+C135+#REF!+C140+C141+C118+#REF!</f>
        <v>#REF!</v>
      </c>
      <c r="D155" s="26" t="e">
        <f>#REF!+#REF!+D132+D133+D135+#REF!+D140+D141+D118+#REF!</f>
        <v>#REF!</v>
      </c>
      <c r="E155" s="26" t="e">
        <f>#REF!+#REF!+E132+E133+E135+#REF!+E140+E141+E118+#REF!</f>
        <v>#REF!</v>
      </c>
      <c r="F155" s="26" t="e">
        <f>#REF!+#REF!+F132+F133+F135+#REF!+F140+F141+F118+#REF!</f>
        <v>#REF!</v>
      </c>
      <c r="G155" s="26" t="e">
        <f>#REF!+#REF!+G132+G133+G135+#REF!+G140+G141+G118+#REF!</f>
        <v>#REF!</v>
      </c>
      <c r="H155" s="26"/>
      <c r="I155" s="26" t="e">
        <f>#REF!+#REF!+I132+I133+I135+#REF!+I140+I141+I118+#REF!</f>
        <v>#REF!</v>
      </c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</row>
    <row r="156" spans="1:177" s="1" customFormat="1" ht="16.5" hidden="1" thickBot="1">
      <c r="A156" s="21"/>
      <c r="B156" s="24" t="s">
        <v>24</v>
      </c>
      <c r="C156" s="26" t="e">
        <f>#REF!+#REF!</f>
        <v>#REF!</v>
      </c>
      <c r="D156" s="26" t="e">
        <f>#REF!+#REF!</f>
        <v>#REF!</v>
      </c>
      <c r="E156" s="26" t="e">
        <f>#REF!+#REF!</f>
        <v>#REF!</v>
      </c>
      <c r="F156" s="26" t="e">
        <f>#REF!+#REF!</f>
        <v>#REF!</v>
      </c>
      <c r="G156" s="26" t="e">
        <f>#REF!+#REF!</f>
        <v>#REF!</v>
      </c>
      <c r="H156" s="26"/>
      <c r="I156" s="26" t="e">
        <f>#REF!+#REF!</f>
        <v>#REF!</v>
      </c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</row>
    <row r="157" spans="1:177" s="1" customFormat="1" ht="16.5" hidden="1" thickBot="1">
      <c r="A157" s="21"/>
      <c r="B157" s="24" t="s">
        <v>25</v>
      </c>
      <c r="C157" s="26">
        <f>C127+C131</f>
        <v>774874.34</v>
      </c>
      <c r="D157" s="26">
        <f>D127+D131</f>
        <v>263576.42</v>
      </c>
      <c r="E157" s="26">
        <f>E127+E131</f>
        <v>285101.4</v>
      </c>
      <c r="F157" s="26">
        <f>F127+F131</f>
        <v>524000</v>
      </c>
      <c r="G157" s="26">
        <f>G127+G131</f>
        <v>1221940.8191842881</v>
      </c>
      <c r="H157" s="26"/>
      <c r="I157" s="26">
        <f>I127+I131</f>
        <v>2322208.8033660827</v>
      </c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</row>
    <row r="158" spans="1:177" s="1" customFormat="1" ht="16.5" hidden="1" thickBot="1">
      <c r="A158" s="21"/>
      <c r="B158" s="24" t="s">
        <v>26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/>
      <c r="I158" s="26" t="e">
        <f>#REF!</f>
        <v>#REF!</v>
      </c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</row>
    <row r="159" spans="1:177" s="1" customFormat="1" ht="16.5" hidden="1" thickBot="1">
      <c r="A159" s="21"/>
      <c r="B159" s="24" t="s">
        <v>27</v>
      </c>
      <c r="C159" s="26" t="e">
        <f>C122+#REF!+#REF!+#REF!+#REF!+#REF!+#REF!</f>
        <v>#REF!</v>
      </c>
      <c r="D159" s="26" t="e">
        <f>D122+#REF!+#REF!+#REF!+#REF!+#REF!+#REF!</f>
        <v>#REF!</v>
      </c>
      <c r="E159" s="26" t="e">
        <f>E122+#REF!+#REF!+#REF!+#REF!+#REF!+#REF!</f>
        <v>#REF!</v>
      </c>
      <c r="F159" s="26" t="e">
        <f>F122+#REF!+#REF!+#REF!+#REF!+#REF!+#REF!</f>
        <v>#REF!</v>
      </c>
      <c r="G159" s="26" t="e">
        <f>G122+#REF!+#REF!+#REF!+#REF!+#REF!+#REF!</f>
        <v>#REF!</v>
      </c>
      <c r="H159" s="26"/>
      <c r="I159" s="26" t="e">
        <f>I122+#REF!+#REF!+#REF!+#REF!+#REF!+#REF!</f>
        <v>#REF!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</row>
    <row r="160" spans="1:177" s="1" customFormat="1" ht="16.5" hidden="1" thickBot="1">
      <c r="A160" s="21"/>
      <c r="B160" s="24" t="s">
        <v>33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/>
      <c r="I160" s="26" t="e">
        <f>#REF!</f>
        <v>#REF!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</row>
    <row r="161" spans="1:177" s="1" customFormat="1" ht="16.5" hidden="1" thickBot="1">
      <c r="A161" s="21"/>
      <c r="B161" s="24" t="s">
        <v>28</v>
      </c>
      <c r="C161" s="26" t="e">
        <f>#REF!+#REF!</f>
        <v>#REF!</v>
      </c>
      <c r="D161" s="26" t="e">
        <f>#REF!+#REF!</f>
        <v>#REF!</v>
      </c>
      <c r="E161" s="26" t="e">
        <f>#REF!+#REF!</f>
        <v>#REF!</v>
      </c>
      <c r="F161" s="26" t="e">
        <f>#REF!+#REF!</f>
        <v>#REF!</v>
      </c>
      <c r="G161" s="26" t="e">
        <f>#REF!+#REF!</f>
        <v>#REF!</v>
      </c>
      <c r="H161" s="26"/>
      <c r="I161" s="26" t="e">
        <f>#REF!+#REF!</f>
        <v>#REF!</v>
      </c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</row>
    <row r="162" spans="1:177" s="1" customFormat="1" ht="16.5" hidden="1" thickBot="1">
      <c r="A162" s="21"/>
      <c r="B162" s="24" t="s">
        <v>29</v>
      </c>
      <c r="C162" s="26" t="e">
        <f>#REF!+#REF!</f>
        <v>#REF!</v>
      </c>
      <c r="D162" s="26" t="e">
        <f>#REF!+#REF!</f>
        <v>#REF!</v>
      </c>
      <c r="E162" s="26" t="e">
        <f>#REF!+#REF!</f>
        <v>#REF!</v>
      </c>
      <c r="F162" s="26" t="e">
        <f>#REF!+#REF!</f>
        <v>#REF!</v>
      </c>
      <c r="G162" s="26" t="e">
        <f>#REF!+#REF!</f>
        <v>#REF!</v>
      </c>
      <c r="H162" s="26"/>
      <c r="I162" s="26" t="e">
        <f>#REF!+#REF!</f>
        <v>#REF!</v>
      </c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</row>
    <row r="163" spans="1:177" s="1" customFormat="1" ht="16.5" hidden="1" thickBot="1">
      <c r="A163" s="21"/>
      <c r="B163" s="24" t="s">
        <v>30</v>
      </c>
      <c r="C163" s="26" t="e">
        <f>C161+C162</f>
        <v>#REF!</v>
      </c>
      <c r="D163" s="26" t="e">
        <f aca="true" t="shared" si="30" ref="D163:I163">D161+D162</f>
        <v>#REF!</v>
      </c>
      <c r="E163" s="26" t="e">
        <f t="shared" si="30"/>
        <v>#REF!</v>
      </c>
      <c r="F163" s="26" t="e">
        <f t="shared" si="30"/>
        <v>#REF!</v>
      </c>
      <c r="G163" s="26" t="e">
        <f t="shared" si="30"/>
        <v>#REF!</v>
      </c>
      <c r="H163" s="26"/>
      <c r="I163" s="26" t="e">
        <f t="shared" si="30"/>
        <v>#REF!</v>
      </c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</row>
    <row r="164" spans="1:177" s="1" customFormat="1" ht="16.5" hidden="1" thickBot="1">
      <c r="A164" s="21"/>
      <c r="B164" s="24" t="s">
        <v>31</v>
      </c>
      <c r="C164" s="26" t="e">
        <f>((C8+#REF!)-(C148)-((#REF!+#REF!)-C163))</f>
        <v>#REF!</v>
      </c>
      <c r="D164" s="26" t="e">
        <f>((D8+#REF!)-(D148)-((#REF!+#REF!)-D163))</f>
        <v>#REF!</v>
      </c>
      <c r="E164" s="26" t="e">
        <f>((E8+#REF!)-(E148)-((#REF!+#REF!)-E163))</f>
        <v>#REF!</v>
      </c>
      <c r="F164" s="26" t="e">
        <f>((F8+#REF!)-(F148)-((#REF!+#REF!)-F163))</f>
        <v>#REF!</v>
      </c>
      <c r="G164" s="26" t="e">
        <f>((G8+#REF!)-(G148)-((#REF!+#REF!)-G163))</f>
        <v>#REF!</v>
      </c>
      <c r="H164" s="26"/>
      <c r="I164" s="26" t="e">
        <f>((I8+#REF!)-(I148)-((#REF!+#REF!)-I163))</f>
        <v>#REF!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</row>
    <row r="165" spans="1:177" s="1" customFormat="1" ht="16.5" hidden="1" thickBot="1">
      <c r="A165" s="21"/>
      <c r="B165" s="27" t="s">
        <v>32</v>
      </c>
      <c r="C165" s="28" t="e">
        <f>-(C164-(C161-C19-C20-C21-#REF!))</f>
        <v>#REF!</v>
      </c>
      <c r="D165" s="28" t="e">
        <f>-(D164-(D161-D19-D20-D21-#REF!))</f>
        <v>#REF!</v>
      </c>
      <c r="E165" s="28" t="e">
        <f>-(E164-(E161-E19-E20-E21-#REF!))</f>
        <v>#REF!</v>
      </c>
      <c r="F165" s="28" t="e">
        <f>-(F164-(F161-F19-F20-F21-#REF!))</f>
        <v>#REF!</v>
      </c>
      <c r="G165" s="28" t="e">
        <f>-(G164-(G161-G19-G20-G21-#REF!))</f>
        <v>#REF!</v>
      </c>
      <c r="H165" s="28"/>
      <c r="I165" s="28" t="e">
        <f>-(I164-(I161-I19-I20-I21-#REF!))</f>
        <v>#REF!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</row>
    <row r="166" spans="1:177" s="1" customFormat="1" ht="16.5" thickTop="1">
      <c r="A166" s="21"/>
      <c r="B166" s="29"/>
      <c r="C166" s="29"/>
      <c r="D166" s="29"/>
      <c r="E166" s="29"/>
      <c r="F166" s="29"/>
      <c r="G166" s="29"/>
      <c r="H166" s="29"/>
      <c r="I166" s="2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</row>
    <row r="167" spans="2:177" s="1" customFormat="1" ht="15.75">
      <c r="B167" s="5"/>
      <c r="C167" s="5"/>
      <c r="D167" s="5"/>
      <c r="E167" s="5"/>
      <c r="F167" s="5"/>
      <c r="G167" s="5"/>
      <c r="H167" s="5"/>
      <c r="I167" s="5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</row>
    <row r="168" spans="2:177" s="1" customFormat="1" ht="15.75">
      <c r="B168" s="5"/>
      <c r="C168" s="5"/>
      <c r="D168" s="5"/>
      <c r="E168" s="5"/>
      <c r="F168" s="5"/>
      <c r="G168" s="5"/>
      <c r="H168" s="5"/>
      <c r="I168" s="5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</row>
    <row r="169" spans="2:177" s="1" customFormat="1" ht="15.75">
      <c r="B169" s="5"/>
      <c r="C169" s="5"/>
      <c r="D169" s="5"/>
      <c r="E169" s="5"/>
      <c r="F169" s="5"/>
      <c r="G169" s="5"/>
      <c r="H169" s="5"/>
      <c r="I169" s="5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</row>
    <row r="170" spans="2:177" s="1" customFormat="1" ht="15.75">
      <c r="B170" s="5"/>
      <c r="C170" s="5"/>
      <c r="D170" s="5"/>
      <c r="E170" s="5"/>
      <c r="F170" s="5"/>
      <c r="G170" s="5"/>
      <c r="H170" s="5"/>
      <c r="I170" s="5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</row>
    <row r="171" spans="2:177" s="1" customFormat="1" ht="15.75">
      <c r="B171" s="2"/>
      <c r="C171" s="5"/>
      <c r="D171" s="5"/>
      <c r="E171" s="5"/>
      <c r="F171" s="5"/>
      <c r="G171" s="5"/>
      <c r="H171" s="5"/>
      <c r="I171" s="5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</row>
    <row r="172" spans="2:177" s="1" customFormat="1" ht="15.75">
      <c r="B172" s="5"/>
      <c r="C172" s="5"/>
      <c r="D172" s="5"/>
      <c r="E172" s="5"/>
      <c r="F172" s="5"/>
      <c r="G172" s="5"/>
      <c r="H172" s="5"/>
      <c r="I172" s="5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</row>
    <row r="173" spans="2:177" s="1" customFormat="1" ht="15.75">
      <c r="B173" s="5"/>
      <c r="C173" s="5"/>
      <c r="D173" s="5"/>
      <c r="E173" s="5"/>
      <c r="F173" s="5" t="s">
        <v>652</v>
      </c>
      <c r="G173" s="5"/>
      <c r="H173" s="5"/>
      <c r="I173" s="5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</row>
    <row r="174" spans="2:177" s="1" customFormat="1" ht="15.75">
      <c r="B174" s="5"/>
      <c r="C174" s="5"/>
      <c r="D174" s="5"/>
      <c r="E174" s="5"/>
      <c r="F174" s="5"/>
      <c r="G174" s="5"/>
      <c r="H174" s="5"/>
      <c r="I174" s="5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</row>
    <row r="175" spans="2:177" s="1" customFormat="1" ht="15.75">
      <c r="B175" s="5"/>
      <c r="C175" s="5"/>
      <c r="D175" s="5"/>
      <c r="E175" s="5"/>
      <c r="F175" s="5"/>
      <c r="G175" s="5"/>
      <c r="H175" s="5"/>
      <c r="I175" s="5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</row>
    <row r="176" spans="2:177" s="1" customFormat="1" ht="15.75">
      <c r="B176" s="5"/>
      <c r="C176" s="5"/>
      <c r="D176" s="5"/>
      <c r="E176" s="5"/>
      <c r="F176" s="5"/>
      <c r="G176" s="5"/>
      <c r="H176" s="5"/>
      <c r="I176" s="5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</row>
    <row r="177" spans="2:177" s="1" customFormat="1" ht="15.75">
      <c r="B177" s="5"/>
      <c r="C177" s="5"/>
      <c r="D177" s="5"/>
      <c r="E177" s="5"/>
      <c r="F177" s="5"/>
      <c r="G177" s="5"/>
      <c r="H177" s="5"/>
      <c r="I177" s="5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</row>
    <row r="178" spans="2:177" s="1" customFormat="1" ht="18.75" customHeight="1">
      <c r="B178" s="5"/>
      <c r="C178" s="5"/>
      <c r="D178" s="5"/>
      <c r="E178" s="5"/>
      <c r="F178" s="5"/>
      <c r="G178" s="5"/>
      <c r="H178" s="5"/>
      <c r="I178" s="5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</row>
    <row r="179" spans="2:177" s="2" customFormat="1" ht="15.75">
      <c r="B179" s="5"/>
      <c r="C179" s="5"/>
      <c r="D179" s="5"/>
      <c r="E179" s="5"/>
      <c r="F179" s="5"/>
      <c r="G179" s="5"/>
      <c r="H179" s="5"/>
      <c r="I179" s="5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  <c r="DG179" s="98"/>
      <c r="DH179" s="98"/>
      <c r="DI179" s="98"/>
      <c r="DJ179" s="98"/>
      <c r="DK179" s="98"/>
      <c r="DL179" s="98"/>
      <c r="DM179" s="98"/>
      <c r="DN179" s="98"/>
      <c r="DO179" s="98"/>
      <c r="DP179" s="98"/>
      <c r="DQ179" s="98"/>
      <c r="DR179" s="98"/>
      <c r="DS179" s="98"/>
      <c r="DT179" s="98"/>
      <c r="DU179" s="98"/>
      <c r="DV179" s="98"/>
      <c r="DW179" s="98"/>
      <c r="DX179" s="98"/>
      <c r="DY179" s="98"/>
      <c r="DZ179" s="98"/>
      <c r="EA179" s="98"/>
      <c r="EB179" s="98"/>
      <c r="EC179" s="98"/>
      <c r="ED179" s="98"/>
      <c r="EE179" s="98"/>
      <c r="EF179" s="98"/>
      <c r="EG179" s="98"/>
      <c r="EH179" s="98"/>
      <c r="EI179" s="98"/>
      <c r="EJ179" s="98"/>
      <c r="EK179" s="98"/>
      <c r="EL179" s="98"/>
      <c r="EM179" s="98"/>
      <c r="EN179" s="98"/>
      <c r="EO179" s="98"/>
      <c r="EP179" s="98"/>
      <c r="EQ179" s="98"/>
      <c r="ER179" s="98"/>
      <c r="ES179" s="98"/>
      <c r="ET179" s="98"/>
      <c r="EU179" s="98"/>
      <c r="EV179" s="98"/>
      <c r="EW179" s="98"/>
      <c r="EX179" s="98"/>
      <c r="EY179" s="98"/>
      <c r="EZ179" s="98"/>
      <c r="FA179" s="98"/>
      <c r="FB179" s="98"/>
      <c r="FC179" s="98"/>
      <c r="FD179" s="98"/>
      <c r="FE179" s="98"/>
      <c r="FF179" s="98"/>
      <c r="FG179" s="98"/>
      <c r="FH179" s="98"/>
      <c r="FI179" s="98"/>
      <c r="FJ179" s="98"/>
      <c r="FK179" s="98"/>
      <c r="FL179" s="98"/>
      <c r="FM179" s="98"/>
      <c r="FN179" s="98"/>
      <c r="FO179" s="98"/>
      <c r="FP179" s="98"/>
      <c r="FQ179" s="98"/>
      <c r="FR179" s="98"/>
      <c r="FS179" s="98"/>
      <c r="FT179" s="98"/>
      <c r="FU179" s="98"/>
    </row>
    <row r="180" spans="2:177" s="1" customFormat="1" ht="15.75">
      <c r="B180" s="5"/>
      <c r="C180" s="5"/>
      <c r="D180" s="5"/>
      <c r="E180" s="5"/>
      <c r="F180" s="5"/>
      <c r="G180" s="5"/>
      <c r="H180" s="5"/>
      <c r="I180" s="5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</row>
    <row r="181" spans="2:177" s="1" customFormat="1" ht="15.75">
      <c r="B181" s="5"/>
      <c r="C181" s="5"/>
      <c r="D181" s="5"/>
      <c r="E181" s="5"/>
      <c r="F181" s="5"/>
      <c r="G181" s="5"/>
      <c r="H181" s="5"/>
      <c r="I181" s="5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99"/>
      <c r="FG181" s="99"/>
      <c r="FH181" s="99"/>
      <c r="FI181" s="99"/>
      <c r="FJ181" s="99"/>
      <c r="FK181" s="99"/>
      <c r="FL181" s="99"/>
      <c r="FM181" s="99"/>
      <c r="FN181" s="99"/>
      <c r="FO181" s="99"/>
      <c r="FP181" s="99"/>
      <c r="FQ181" s="99"/>
      <c r="FR181" s="99"/>
      <c r="FS181" s="99"/>
      <c r="FT181" s="99"/>
      <c r="FU181" s="99"/>
    </row>
    <row r="182" spans="2:177" s="1" customFormat="1" ht="15.75">
      <c r="B182" s="5"/>
      <c r="C182" s="5"/>
      <c r="D182" s="5"/>
      <c r="E182" s="5"/>
      <c r="F182" s="5"/>
      <c r="G182" s="5"/>
      <c r="H182" s="5"/>
      <c r="I182" s="5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</row>
    <row r="183" spans="2:177" s="1" customFormat="1" ht="15.75">
      <c r="B183" s="5"/>
      <c r="C183" s="5"/>
      <c r="D183" s="5"/>
      <c r="E183" s="5"/>
      <c r="F183" s="5"/>
      <c r="G183" s="5"/>
      <c r="H183" s="5"/>
      <c r="I183" s="5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</row>
    <row r="184" spans="2:177" s="1" customFormat="1" ht="15.75">
      <c r="B184" s="5"/>
      <c r="C184" s="5"/>
      <c r="D184" s="5"/>
      <c r="E184" s="5"/>
      <c r="F184" s="5"/>
      <c r="G184" s="5"/>
      <c r="H184" s="5"/>
      <c r="I184" s="5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</row>
    <row r="185" spans="2:177" s="3" customFormat="1" ht="15.75">
      <c r="B185" s="5"/>
      <c r="C185" s="6"/>
      <c r="D185" s="6"/>
      <c r="E185" s="6"/>
      <c r="F185" s="6"/>
      <c r="G185" s="6"/>
      <c r="H185" s="6"/>
      <c r="I185" s="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105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105"/>
      <c r="FD185" s="105"/>
      <c r="FE185" s="105"/>
      <c r="FF185" s="105"/>
      <c r="FG185" s="105"/>
      <c r="FH185" s="105"/>
      <c r="FI185" s="105"/>
      <c r="FJ185" s="105"/>
      <c r="FK185" s="105"/>
      <c r="FL185" s="105"/>
      <c r="FM185" s="105"/>
      <c r="FN185" s="105"/>
      <c r="FO185" s="105"/>
      <c r="FP185" s="105"/>
      <c r="FQ185" s="105"/>
      <c r="FR185" s="105"/>
      <c r="FS185" s="105"/>
      <c r="FT185" s="105"/>
      <c r="FU185" s="105"/>
    </row>
    <row r="186" spans="2:177" s="1" customFormat="1" ht="15.75">
      <c r="B186" s="2"/>
      <c r="C186" s="2"/>
      <c r="D186" s="2"/>
      <c r="E186" s="2"/>
      <c r="F186" s="2"/>
      <c r="G186" s="2"/>
      <c r="H186" s="2"/>
      <c r="I186" s="2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</row>
    <row r="187" spans="2:177" s="1" customFormat="1" ht="15.75">
      <c r="B187" s="2"/>
      <c r="C187" s="2"/>
      <c r="D187" s="2"/>
      <c r="E187" s="2"/>
      <c r="F187" s="2"/>
      <c r="G187" s="2"/>
      <c r="H187" s="2"/>
      <c r="I187" s="2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</row>
    <row r="188" spans="2:177" s="1" customFormat="1" ht="15.75">
      <c r="B188" s="2"/>
      <c r="C188" s="2"/>
      <c r="D188" s="2"/>
      <c r="E188" s="2"/>
      <c r="F188" s="2"/>
      <c r="G188" s="2"/>
      <c r="H188" s="2"/>
      <c r="I188" s="2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99"/>
      <c r="DE188" s="99"/>
      <c r="DF188" s="99"/>
      <c r="DG188" s="99"/>
      <c r="DH188" s="99"/>
      <c r="DI188" s="99"/>
      <c r="DJ188" s="99"/>
      <c r="DK188" s="99"/>
      <c r="DL188" s="99"/>
      <c r="DM188" s="99"/>
      <c r="DN188" s="99"/>
      <c r="DO188" s="99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  <c r="ED188" s="99"/>
      <c r="EE188" s="99"/>
      <c r="EF188" s="99"/>
      <c r="EG188" s="99"/>
      <c r="EH188" s="99"/>
      <c r="EI188" s="99"/>
      <c r="EJ188" s="99"/>
      <c r="EK188" s="99"/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99"/>
      <c r="EY188" s="99"/>
      <c r="EZ188" s="99"/>
      <c r="FA188" s="99"/>
      <c r="FB188" s="99"/>
      <c r="FC188" s="99"/>
      <c r="FD188" s="99"/>
      <c r="FE188" s="99"/>
      <c r="FF188" s="99"/>
      <c r="FG188" s="99"/>
      <c r="FH188" s="99"/>
      <c r="FI188" s="99"/>
      <c r="FJ188" s="99"/>
      <c r="FK188" s="99"/>
      <c r="FL188" s="99"/>
      <c r="FM188" s="99"/>
      <c r="FN188" s="99"/>
      <c r="FO188" s="99"/>
      <c r="FP188" s="99"/>
      <c r="FQ188" s="99"/>
      <c r="FR188" s="99"/>
      <c r="FS188" s="99"/>
      <c r="FT188" s="99"/>
      <c r="FU188" s="99"/>
    </row>
    <row r="189" spans="2:177" s="1" customFormat="1" ht="15.75">
      <c r="B189" s="2"/>
      <c r="C189" s="2"/>
      <c r="D189" s="2"/>
      <c r="E189" s="2"/>
      <c r="F189" s="2"/>
      <c r="G189" s="2"/>
      <c r="H189" s="2"/>
      <c r="I189" s="2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</row>
    <row r="190" spans="2:177" s="1" customFormat="1" ht="15.75">
      <c r="B190" s="2"/>
      <c r="C190" s="2"/>
      <c r="D190" s="2"/>
      <c r="E190" s="2"/>
      <c r="F190" s="2"/>
      <c r="G190" s="2"/>
      <c r="H190" s="2"/>
      <c r="I190" s="2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9"/>
      <c r="FK190" s="99"/>
      <c r="FL190" s="99"/>
      <c r="FM190" s="99"/>
      <c r="FN190" s="99"/>
      <c r="FO190" s="99"/>
      <c r="FP190" s="99"/>
      <c r="FQ190" s="99"/>
      <c r="FR190" s="99"/>
      <c r="FS190" s="99"/>
      <c r="FT190" s="99"/>
      <c r="FU190" s="99"/>
    </row>
    <row r="191" spans="2:177" s="1" customFormat="1" ht="15.75">
      <c r="B191" s="2"/>
      <c r="C191" s="2"/>
      <c r="D191" s="2"/>
      <c r="E191" s="2"/>
      <c r="F191" s="2"/>
      <c r="G191" s="2"/>
      <c r="H191" s="2"/>
      <c r="I191" s="2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9"/>
      <c r="FK191" s="99"/>
      <c r="FL191" s="99"/>
      <c r="FM191" s="99"/>
      <c r="FN191" s="99"/>
      <c r="FO191" s="99"/>
      <c r="FP191" s="99"/>
      <c r="FQ191" s="99"/>
      <c r="FR191" s="99"/>
      <c r="FS191" s="99"/>
      <c r="FT191" s="99"/>
      <c r="FU191" s="99"/>
    </row>
    <row r="192" spans="2:177" s="1" customFormat="1" ht="15.75">
      <c r="B192" s="2"/>
      <c r="C192" s="2"/>
      <c r="D192" s="2"/>
      <c r="E192" s="2"/>
      <c r="F192" s="2"/>
      <c r="G192" s="2"/>
      <c r="H192" s="2"/>
      <c r="I192" s="2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99"/>
      <c r="FD192" s="99"/>
      <c r="FE192" s="99"/>
      <c r="FF192" s="99"/>
      <c r="FG192" s="99"/>
      <c r="FH192" s="99"/>
      <c r="FI192" s="99"/>
      <c r="FJ192" s="99"/>
      <c r="FK192" s="99"/>
      <c r="FL192" s="99"/>
      <c r="FM192" s="99"/>
      <c r="FN192" s="99"/>
      <c r="FO192" s="99"/>
      <c r="FP192" s="99"/>
      <c r="FQ192" s="99"/>
      <c r="FR192" s="99"/>
      <c r="FS192" s="99"/>
      <c r="FT192" s="99"/>
      <c r="FU192" s="99"/>
    </row>
    <row r="193" spans="2:177" s="1" customFormat="1" ht="15.75">
      <c r="B193" s="2"/>
      <c r="C193" s="2"/>
      <c r="D193" s="2"/>
      <c r="E193" s="2"/>
      <c r="F193" s="2"/>
      <c r="G193" s="2"/>
      <c r="H193" s="2"/>
      <c r="I193" s="2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99"/>
      <c r="DS193" s="99"/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99"/>
      <c r="ES193" s="99"/>
      <c r="ET193" s="99"/>
      <c r="EU193" s="99"/>
      <c r="EV193" s="99"/>
      <c r="EW193" s="99"/>
      <c r="EX193" s="99"/>
      <c r="EY193" s="99"/>
      <c r="EZ193" s="99"/>
      <c r="FA193" s="99"/>
      <c r="FB193" s="99"/>
      <c r="FC193" s="99"/>
      <c r="FD193" s="99"/>
      <c r="FE193" s="99"/>
      <c r="FF193" s="99"/>
      <c r="FG193" s="99"/>
      <c r="FH193" s="99"/>
      <c r="FI193" s="99"/>
      <c r="FJ193" s="99"/>
      <c r="FK193" s="99"/>
      <c r="FL193" s="99"/>
      <c r="FM193" s="99"/>
      <c r="FN193" s="99"/>
      <c r="FO193" s="99"/>
      <c r="FP193" s="99"/>
      <c r="FQ193" s="99"/>
      <c r="FR193" s="99"/>
      <c r="FS193" s="99"/>
      <c r="FT193" s="99"/>
      <c r="FU193" s="99"/>
    </row>
    <row r="194" spans="10:177" s="1" customFormat="1" ht="15.75"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  <c r="CZ194" s="99"/>
      <c r="DA194" s="99"/>
      <c r="DB194" s="99"/>
      <c r="DC194" s="99"/>
      <c r="DD194" s="99"/>
      <c r="DE194" s="99"/>
      <c r="DF194" s="99"/>
      <c r="DG194" s="99"/>
      <c r="DH194" s="99"/>
      <c r="DI194" s="99"/>
      <c r="DJ194" s="99"/>
      <c r="DK194" s="99"/>
      <c r="DL194" s="99"/>
      <c r="DM194" s="99"/>
      <c r="DN194" s="99"/>
      <c r="DO194" s="99"/>
      <c r="DP194" s="99"/>
      <c r="DQ194" s="99"/>
      <c r="DR194" s="99"/>
      <c r="DS194" s="99"/>
      <c r="DT194" s="99"/>
      <c r="DU194" s="99"/>
      <c r="DV194" s="99"/>
      <c r="DW194" s="99"/>
      <c r="DX194" s="99"/>
      <c r="DY194" s="99"/>
      <c r="DZ194" s="99"/>
      <c r="EA194" s="99"/>
      <c r="EB194" s="99"/>
      <c r="EC194" s="99"/>
      <c r="ED194" s="99"/>
      <c r="EE194" s="99"/>
      <c r="EF194" s="99"/>
      <c r="EG194" s="99"/>
      <c r="EH194" s="99"/>
      <c r="EI194" s="99"/>
      <c r="EJ194" s="99"/>
      <c r="EK194" s="99"/>
      <c r="EL194" s="99"/>
      <c r="EM194" s="99"/>
      <c r="EN194" s="99"/>
      <c r="EO194" s="99"/>
      <c r="EP194" s="99"/>
      <c r="EQ194" s="99"/>
      <c r="ER194" s="99"/>
      <c r="ES194" s="99"/>
      <c r="ET194" s="99"/>
      <c r="EU194" s="99"/>
      <c r="EV194" s="99"/>
      <c r="EW194" s="99"/>
      <c r="EX194" s="99"/>
      <c r="EY194" s="99"/>
      <c r="EZ194" s="99"/>
      <c r="FA194" s="99"/>
      <c r="FB194" s="99"/>
      <c r="FC194" s="99"/>
      <c r="FD194" s="99"/>
      <c r="FE194" s="99"/>
      <c r="FF194" s="99"/>
      <c r="FG194" s="99"/>
      <c r="FH194" s="99"/>
      <c r="FI194" s="99"/>
      <c r="FJ194" s="99"/>
      <c r="FK194" s="99"/>
      <c r="FL194" s="99"/>
      <c r="FM194" s="99"/>
      <c r="FN194" s="99"/>
      <c r="FO194" s="99"/>
      <c r="FP194" s="99"/>
      <c r="FQ194" s="99"/>
      <c r="FR194" s="99"/>
      <c r="FS194" s="99"/>
      <c r="FT194" s="99"/>
      <c r="FU194" s="99"/>
    </row>
    <row r="195" spans="10:177" s="1" customFormat="1" ht="15.75"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99"/>
      <c r="DL195" s="99"/>
      <c r="DM195" s="99"/>
      <c r="DN195" s="99"/>
      <c r="DO195" s="99"/>
      <c r="DP195" s="99"/>
      <c r="DQ195" s="99"/>
      <c r="DR195" s="99"/>
      <c r="DS195" s="99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99"/>
      <c r="EY195" s="99"/>
      <c r="EZ195" s="99"/>
      <c r="FA195" s="99"/>
      <c r="FB195" s="99"/>
      <c r="FC195" s="99"/>
      <c r="FD195" s="99"/>
      <c r="FE195" s="99"/>
      <c r="FF195" s="99"/>
      <c r="FG195" s="99"/>
      <c r="FH195" s="99"/>
      <c r="FI195" s="99"/>
      <c r="FJ195" s="99"/>
      <c r="FK195" s="99"/>
      <c r="FL195" s="99"/>
      <c r="FM195" s="99"/>
      <c r="FN195" s="99"/>
      <c r="FO195" s="99"/>
      <c r="FP195" s="99"/>
      <c r="FQ195" s="99"/>
      <c r="FR195" s="99"/>
      <c r="FS195" s="99"/>
      <c r="FT195" s="99"/>
      <c r="FU195" s="99"/>
    </row>
    <row r="196" spans="10:177" s="1" customFormat="1" ht="15.75"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  <c r="FB196" s="99"/>
      <c r="FC196" s="99"/>
      <c r="FD196" s="99"/>
      <c r="FE196" s="99"/>
      <c r="FF196" s="99"/>
      <c r="FG196" s="99"/>
      <c r="FH196" s="99"/>
      <c r="FI196" s="99"/>
      <c r="FJ196" s="99"/>
      <c r="FK196" s="99"/>
      <c r="FL196" s="99"/>
      <c r="FM196" s="99"/>
      <c r="FN196" s="99"/>
      <c r="FO196" s="99"/>
      <c r="FP196" s="99"/>
      <c r="FQ196" s="99"/>
      <c r="FR196" s="99"/>
      <c r="FS196" s="99"/>
      <c r="FT196" s="99"/>
      <c r="FU196" s="99"/>
    </row>
    <row r="197" spans="10:177" s="1" customFormat="1" ht="15.75"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  <c r="DA197" s="99"/>
      <c r="DB197" s="99"/>
      <c r="DC197" s="99"/>
      <c r="DD197" s="99"/>
      <c r="DE197" s="99"/>
      <c r="DF197" s="99"/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  <c r="FH197" s="99"/>
      <c r="FI197" s="99"/>
      <c r="FJ197" s="99"/>
      <c r="FK197" s="99"/>
      <c r="FL197" s="99"/>
      <c r="FM197" s="99"/>
      <c r="FN197" s="99"/>
      <c r="FO197" s="99"/>
      <c r="FP197" s="99"/>
      <c r="FQ197" s="99"/>
      <c r="FR197" s="99"/>
      <c r="FS197" s="99"/>
      <c r="FT197" s="99"/>
      <c r="FU197" s="99"/>
    </row>
    <row r="198" spans="10:177" s="1" customFormat="1" ht="15.75"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</row>
    <row r="199" spans="10:177" s="1" customFormat="1" ht="15.75"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99"/>
      <c r="EY199" s="99"/>
      <c r="EZ199" s="99"/>
      <c r="FA199" s="99"/>
      <c r="FB199" s="99"/>
      <c r="FC199" s="99"/>
      <c r="FD199" s="99"/>
      <c r="FE199" s="99"/>
      <c r="FF199" s="99"/>
      <c r="FG199" s="99"/>
      <c r="FH199" s="99"/>
      <c r="FI199" s="99"/>
      <c r="FJ199" s="99"/>
      <c r="FK199" s="99"/>
      <c r="FL199" s="99"/>
      <c r="FM199" s="99"/>
      <c r="FN199" s="99"/>
      <c r="FO199" s="99"/>
      <c r="FP199" s="99"/>
      <c r="FQ199" s="99"/>
      <c r="FR199" s="99"/>
      <c r="FS199" s="99"/>
      <c r="FT199" s="99"/>
      <c r="FU199" s="99"/>
    </row>
    <row r="200" spans="10:177" s="1" customFormat="1" ht="15.75"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</row>
    <row r="201" spans="10:177" s="1" customFormat="1" ht="15.75"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</row>
    <row r="202" spans="10:177" s="1" customFormat="1" ht="15.75"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</row>
    <row r="203" spans="10:177" s="1" customFormat="1" ht="15.75"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99"/>
      <c r="DD203" s="99"/>
      <c r="DE203" s="99"/>
      <c r="DF203" s="99"/>
      <c r="DG203" s="99"/>
      <c r="DH203" s="99"/>
      <c r="DI203" s="99"/>
      <c r="DJ203" s="99"/>
      <c r="DK203" s="99"/>
      <c r="DL203" s="99"/>
      <c r="DM203" s="99"/>
      <c r="DN203" s="99"/>
      <c r="DO203" s="99"/>
      <c r="DP203" s="99"/>
      <c r="DQ203" s="99"/>
      <c r="DR203" s="99"/>
      <c r="DS203" s="99"/>
      <c r="DT203" s="99"/>
      <c r="DU203" s="99"/>
      <c r="DV203" s="99"/>
      <c r="DW203" s="99"/>
      <c r="DX203" s="99"/>
      <c r="DY203" s="99"/>
      <c r="DZ203" s="99"/>
      <c r="EA203" s="99"/>
      <c r="EB203" s="99"/>
      <c r="EC203" s="99"/>
      <c r="ED203" s="99"/>
      <c r="EE203" s="99"/>
      <c r="EF203" s="99"/>
      <c r="EG203" s="99"/>
      <c r="EH203" s="99"/>
      <c r="EI203" s="99"/>
      <c r="EJ203" s="99"/>
      <c r="EK203" s="99"/>
      <c r="EL203" s="99"/>
      <c r="EM203" s="99"/>
      <c r="EN203" s="99"/>
      <c r="EO203" s="99"/>
      <c r="EP203" s="99"/>
      <c r="EQ203" s="99"/>
      <c r="ER203" s="99"/>
      <c r="ES203" s="99"/>
      <c r="ET203" s="99"/>
      <c r="EU203" s="99"/>
      <c r="EV203" s="99"/>
      <c r="EW203" s="99"/>
      <c r="EX203" s="99"/>
      <c r="EY203" s="99"/>
      <c r="EZ203" s="99"/>
      <c r="FA203" s="99"/>
      <c r="FB203" s="99"/>
      <c r="FC203" s="99"/>
      <c r="FD203" s="99"/>
      <c r="FE203" s="99"/>
      <c r="FF203" s="99"/>
      <c r="FG203" s="99"/>
      <c r="FH203" s="99"/>
      <c r="FI203" s="99"/>
      <c r="FJ203" s="99"/>
      <c r="FK203" s="99"/>
      <c r="FL203" s="99"/>
      <c r="FM203" s="99"/>
      <c r="FN203" s="99"/>
      <c r="FO203" s="99"/>
      <c r="FP203" s="99"/>
      <c r="FQ203" s="99"/>
      <c r="FR203" s="99"/>
      <c r="FS203" s="99"/>
      <c r="FT203" s="99"/>
      <c r="FU203" s="99"/>
    </row>
    <row r="204" spans="10:177" s="1" customFormat="1" ht="15.75"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99"/>
      <c r="DE204" s="99"/>
      <c r="DF204" s="99"/>
      <c r="DG204" s="99"/>
      <c r="DH204" s="99"/>
      <c r="DI204" s="99"/>
      <c r="DJ204" s="99"/>
      <c r="DK204" s="99"/>
      <c r="DL204" s="99"/>
      <c r="DM204" s="99"/>
      <c r="DN204" s="99"/>
      <c r="DO204" s="99"/>
      <c r="DP204" s="99"/>
      <c r="DQ204" s="99"/>
      <c r="DR204" s="99"/>
      <c r="DS204" s="99"/>
      <c r="DT204" s="99"/>
      <c r="DU204" s="99"/>
      <c r="DV204" s="99"/>
      <c r="DW204" s="99"/>
      <c r="DX204" s="99"/>
      <c r="DY204" s="99"/>
      <c r="DZ204" s="99"/>
      <c r="EA204" s="99"/>
      <c r="EB204" s="99"/>
      <c r="EC204" s="99"/>
      <c r="ED204" s="99"/>
      <c r="EE204" s="99"/>
      <c r="EF204" s="99"/>
      <c r="EG204" s="99"/>
      <c r="EH204" s="99"/>
      <c r="EI204" s="99"/>
      <c r="EJ204" s="99"/>
      <c r="EK204" s="99"/>
      <c r="EL204" s="99"/>
      <c r="EM204" s="99"/>
      <c r="EN204" s="99"/>
      <c r="EO204" s="99"/>
      <c r="EP204" s="99"/>
      <c r="EQ204" s="99"/>
      <c r="ER204" s="99"/>
      <c r="ES204" s="99"/>
      <c r="ET204" s="99"/>
      <c r="EU204" s="99"/>
      <c r="EV204" s="99"/>
      <c r="EW204" s="99"/>
      <c r="EX204" s="99"/>
      <c r="EY204" s="99"/>
      <c r="EZ204" s="99"/>
      <c r="FA204" s="99"/>
      <c r="FB204" s="99"/>
      <c r="FC204" s="99"/>
      <c r="FD204" s="99"/>
      <c r="FE204" s="99"/>
      <c r="FF204" s="99"/>
      <c r="FG204" s="99"/>
      <c r="FH204" s="99"/>
      <c r="FI204" s="99"/>
      <c r="FJ204" s="99"/>
      <c r="FK204" s="99"/>
      <c r="FL204" s="99"/>
      <c r="FM204" s="99"/>
      <c r="FN204" s="99"/>
      <c r="FO204" s="99"/>
      <c r="FP204" s="99"/>
      <c r="FQ204" s="99"/>
      <c r="FR204" s="99"/>
      <c r="FS204" s="99"/>
      <c r="FT204" s="99"/>
      <c r="FU204" s="99"/>
    </row>
    <row r="205" spans="10:177" s="1" customFormat="1" ht="15.75"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99"/>
      <c r="FF205" s="99"/>
      <c r="FG205" s="99"/>
      <c r="FH205" s="99"/>
      <c r="FI205" s="99"/>
      <c r="FJ205" s="99"/>
      <c r="FK205" s="99"/>
      <c r="FL205" s="99"/>
      <c r="FM205" s="99"/>
      <c r="FN205" s="99"/>
      <c r="FO205" s="99"/>
      <c r="FP205" s="99"/>
      <c r="FQ205" s="99"/>
      <c r="FR205" s="99"/>
      <c r="FS205" s="99"/>
      <c r="FT205" s="99"/>
      <c r="FU205" s="99"/>
    </row>
    <row r="206" spans="10:177" s="1" customFormat="1" ht="15.75"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  <c r="DC206" s="99"/>
      <c r="DD206" s="99"/>
      <c r="DE206" s="99"/>
      <c r="DF206" s="99"/>
      <c r="DG206" s="99"/>
      <c r="DH206" s="99"/>
      <c r="DI206" s="99"/>
      <c r="DJ206" s="99"/>
      <c r="DK206" s="99"/>
      <c r="DL206" s="99"/>
      <c r="DM206" s="99"/>
      <c r="DN206" s="99"/>
      <c r="DO206" s="99"/>
      <c r="DP206" s="99"/>
      <c r="DQ206" s="99"/>
      <c r="DR206" s="99"/>
      <c r="DS206" s="99"/>
      <c r="DT206" s="99"/>
      <c r="DU206" s="99"/>
      <c r="DV206" s="99"/>
      <c r="DW206" s="99"/>
      <c r="DX206" s="99"/>
      <c r="DY206" s="99"/>
      <c r="DZ206" s="99"/>
      <c r="EA206" s="99"/>
      <c r="EB206" s="99"/>
      <c r="EC206" s="99"/>
      <c r="ED206" s="99"/>
      <c r="EE206" s="99"/>
      <c r="EF206" s="99"/>
      <c r="EG206" s="99"/>
      <c r="EH206" s="99"/>
      <c r="EI206" s="99"/>
      <c r="EJ206" s="99"/>
      <c r="EK206" s="99"/>
      <c r="EL206" s="99"/>
      <c r="EM206" s="99"/>
      <c r="EN206" s="99"/>
      <c r="EO206" s="99"/>
      <c r="EP206" s="99"/>
      <c r="EQ206" s="99"/>
      <c r="ER206" s="99"/>
      <c r="ES206" s="99"/>
      <c r="ET206" s="99"/>
      <c r="EU206" s="99"/>
      <c r="EV206" s="99"/>
      <c r="EW206" s="99"/>
      <c r="EX206" s="99"/>
      <c r="EY206" s="99"/>
      <c r="EZ206" s="99"/>
      <c r="FA206" s="99"/>
      <c r="FB206" s="99"/>
      <c r="FC206" s="99"/>
      <c r="FD206" s="99"/>
      <c r="FE206" s="99"/>
      <c r="FF206" s="99"/>
      <c r="FG206" s="99"/>
      <c r="FH206" s="99"/>
      <c r="FI206" s="99"/>
      <c r="FJ206" s="99"/>
      <c r="FK206" s="99"/>
      <c r="FL206" s="99"/>
      <c r="FM206" s="99"/>
      <c r="FN206" s="99"/>
      <c r="FO206" s="99"/>
      <c r="FP206" s="99"/>
      <c r="FQ206" s="99"/>
      <c r="FR206" s="99"/>
      <c r="FS206" s="99"/>
      <c r="FT206" s="99"/>
      <c r="FU206" s="99"/>
    </row>
    <row r="207" spans="10:177" s="1" customFormat="1" ht="15.75"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  <c r="FB207" s="99"/>
      <c r="FC207" s="99"/>
      <c r="FD207" s="99"/>
      <c r="FE207" s="99"/>
      <c r="FF207" s="99"/>
      <c r="FG207" s="99"/>
      <c r="FH207" s="99"/>
      <c r="FI207" s="99"/>
      <c r="FJ207" s="99"/>
      <c r="FK207" s="99"/>
      <c r="FL207" s="99"/>
      <c r="FM207" s="99"/>
      <c r="FN207" s="99"/>
      <c r="FO207" s="99"/>
      <c r="FP207" s="99"/>
      <c r="FQ207" s="99"/>
      <c r="FR207" s="99"/>
      <c r="FS207" s="99"/>
      <c r="FT207" s="99"/>
      <c r="FU207" s="99"/>
    </row>
    <row r="208" spans="10:177" s="1" customFormat="1" ht="15.75"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99"/>
      <c r="EY208" s="99"/>
      <c r="EZ208" s="99"/>
      <c r="FA208" s="99"/>
      <c r="FB208" s="99"/>
      <c r="FC208" s="99"/>
      <c r="FD208" s="99"/>
      <c r="FE208" s="99"/>
      <c r="FF208" s="99"/>
      <c r="FG208" s="99"/>
      <c r="FH208" s="99"/>
      <c r="FI208" s="99"/>
      <c r="FJ208" s="99"/>
      <c r="FK208" s="99"/>
      <c r="FL208" s="99"/>
      <c r="FM208" s="99"/>
      <c r="FN208" s="99"/>
      <c r="FO208" s="99"/>
      <c r="FP208" s="99"/>
      <c r="FQ208" s="99"/>
      <c r="FR208" s="99"/>
      <c r="FS208" s="99"/>
      <c r="FT208" s="99"/>
      <c r="FU208" s="99"/>
    </row>
    <row r="209" spans="10:177" s="1" customFormat="1" ht="15.75"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  <c r="FB209" s="99"/>
      <c r="FC209" s="99"/>
      <c r="FD209" s="99"/>
      <c r="FE209" s="99"/>
      <c r="FF209" s="99"/>
      <c r="FG209" s="99"/>
      <c r="FH209" s="99"/>
      <c r="FI209" s="99"/>
      <c r="FJ209" s="99"/>
      <c r="FK209" s="99"/>
      <c r="FL209" s="99"/>
      <c r="FM209" s="99"/>
      <c r="FN209" s="99"/>
      <c r="FO209" s="99"/>
      <c r="FP209" s="99"/>
      <c r="FQ209" s="99"/>
      <c r="FR209" s="99"/>
      <c r="FS209" s="99"/>
      <c r="FT209" s="99"/>
      <c r="FU209" s="99"/>
    </row>
    <row r="210" spans="10:177" s="1" customFormat="1" ht="15.75"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99"/>
      <c r="EY210" s="99"/>
      <c r="EZ210" s="99"/>
      <c r="FA210" s="99"/>
      <c r="FB210" s="99"/>
      <c r="FC210" s="99"/>
      <c r="FD210" s="99"/>
      <c r="FE210" s="99"/>
      <c r="FF210" s="99"/>
      <c r="FG210" s="99"/>
      <c r="FH210" s="99"/>
      <c r="FI210" s="99"/>
      <c r="FJ210" s="99"/>
      <c r="FK210" s="99"/>
      <c r="FL210" s="99"/>
      <c r="FM210" s="99"/>
      <c r="FN210" s="99"/>
      <c r="FO210" s="99"/>
      <c r="FP210" s="99"/>
      <c r="FQ210" s="99"/>
      <c r="FR210" s="99"/>
      <c r="FS210" s="99"/>
      <c r="FT210" s="99"/>
      <c r="FU210" s="99"/>
    </row>
    <row r="211" spans="10:177" s="1" customFormat="1" ht="15.75"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/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99"/>
      <c r="EY211" s="99"/>
      <c r="EZ211" s="99"/>
      <c r="FA211" s="99"/>
      <c r="FB211" s="99"/>
      <c r="FC211" s="99"/>
      <c r="FD211" s="99"/>
      <c r="FE211" s="99"/>
      <c r="FF211" s="99"/>
      <c r="FG211" s="99"/>
      <c r="FH211" s="99"/>
      <c r="FI211" s="99"/>
      <c r="FJ211" s="99"/>
      <c r="FK211" s="99"/>
      <c r="FL211" s="99"/>
      <c r="FM211" s="99"/>
      <c r="FN211" s="99"/>
      <c r="FO211" s="99"/>
      <c r="FP211" s="99"/>
      <c r="FQ211" s="99"/>
      <c r="FR211" s="99"/>
      <c r="FS211" s="99"/>
      <c r="FT211" s="99"/>
      <c r="FU211" s="99"/>
    </row>
    <row r="212" spans="10:177" s="1" customFormat="1" ht="15.75"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</row>
    <row r="213" spans="10:177" s="1" customFormat="1" ht="15.75"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99"/>
      <c r="EB213" s="99"/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  <c r="FB213" s="99"/>
      <c r="FC213" s="99"/>
      <c r="FD213" s="99"/>
      <c r="FE213" s="99"/>
      <c r="FF213" s="99"/>
      <c r="FG213" s="99"/>
      <c r="FH213" s="99"/>
      <c r="FI213" s="99"/>
      <c r="FJ213" s="99"/>
      <c r="FK213" s="99"/>
      <c r="FL213" s="99"/>
      <c r="FM213" s="99"/>
      <c r="FN213" s="99"/>
      <c r="FO213" s="99"/>
      <c r="FP213" s="99"/>
      <c r="FQ213" s="99"/>
      <c r="FR213" s="99"/>
      <c r="FS213" s="99"/>
      <c r="FT213" s="99"/>
      <c r="FU213" s="99"/>
    </row>
    <row r="214" spans="10:177" s="1" customFormat="1" ht="15.75"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99"/>
      <c r="DL214" s="99"/>
      <c r="DM214" s="99"/>
      <c r="DN214" s="99"/>
      <c r="DO214" s="99"/>
      <c r="DP214" s="99"/>
      <c r="DQ214" s="99"/>
      <c r="DR214" s="99"/>
      <c r="DS214" s="99"/>
      <c r="DT214" s="99"/>
      <c r="DU214" s="99"/>
      <c r="DV214" s="99"/>
      <c r="DW214" s="99"/>
      <c r="DX214" s="99"/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/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99"/>
      <c r="EY214" s="99"/>
      <c r="EZ214" s="99"/>
      <c r="FA214" s="99"/>
      <c r="FB214" s="99"/>
      <c r="FC214" s="99"/>
      <c r="FD214" s="99"/>
      <c r="FE214" s="99"/>
      <c r="FF214" s="99"/>
      <c r="FG214" s="99"/>
      <c r="FH214" s="99"/>
      <c r="FI214" s="99"/>
      <c r="FJ214" s="99"/>
      <c r="FK214" s="99"/>
      <c r="FL214" s="99"/>
      <c r="FM214" s="99"/>
      <c r="FN214" s="99"/>
      <c r="FO214" s="99"/>
      <c r="FP214" s="99"/>
      <c r="FQ214" s="99"/>
      <c r="FR214" s="99"/>
      <c r="FS214" s="99"/>
      <c r="FT214" s="99"/>
      <c r="FU214" s="99"/>
    </row>
    <row r="215" spans="10:177" s="1" customFormat="1" ht="15.75"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99"/>
      <c r="DL215" s="99"/>
      <c r="DM215" s="99"/>
      <c r="DN215" s="99"/>
      <c r="DO215" s="99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99"/>
      <c r="EY215" s="99"/>
      <c r="EZ215" s="99"/>
      <c r="FA215" s="99"/>
      <c r="FB215" s="99"/>
      <c r="FC215" s="99"/>
      <c r="FD215" s="99"/>
      <c r="FE215" s="99"/>
      <c r="FF215" s="99"/>
      <c r="FG215" s="99"/>
      <c r="FH215" s="99"/>
      <c r="FI215" s="99"/>
      <c r="FJ215" s="99"/>
      <c r="FK215" s="99"/>
      <c r="FL215" s="99"/>
      <c r="FM215" s="99"/>
      <c r="FN215" s="99"/>
      <c r="FO215" s="99"/>
      <c r="FP215" s="99"/>
      <c r="FQ215" s="99"/>
      <c r="FR215" s="99"/>
      <c r="FS215" s="99"/>
      <c r="FT215" s="99"/>
      <c r="FU215" s="99"/>
    </row>
    <row r="216" spans="10:177" s="1" customFormat="1" ht="15.75"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</row>
    <row r="217" spans="10:177" s="1" customFormat="1" ht="15.75"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  <c r="FB217" s="99"/>
      <c r="FC217" s="99"/>
      <c r="FD217" s="99"/>
      <c r="FE217" s="99"/>
      <c r="FF217" s="99"/>
      <c r="FG217" s="99"/>
      <c r="FH217" s="99"/>
      <c r="FI217" s="99"/>
      <c r="FJ217" s="99"/>
      <c r="FK217" s="99"/>
      <c r="FL217" s="99"/>
      <c r="FM217" s="99"/>
      <c r="FN217" s="99"/>
      <c r="FO217" s="99"/>
      <c r="FP217" s="99"/>
      <c r="FQ217" s="99"/>
      <c r="FR217" s="99"/>
      <c r="FS217" s="99"/>
      <c r="FT217" s="99"/>
      <c r="FU217" s="99"/>
    </row>
    <row r="218" spans="10:177" s="1" customFormat="1" ht="15.75"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99"/>
      <c r="DE218" s="99"/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  <c r="FB218" s="99"/>
      <c r="FC218" s="99"/>
      <c r="FD218" s="99"/>
      <c r="FE218" s="99"/>
      <c r="FF218" s="99"/>
      <c r="FG218" s="99"/>
      <c r="FH218" s="99"/>
      <c r="FI218" s="99"/>
      <c r="FJ218" s="99"/>
      <c r="FK218" s="99"/>
      <c r="FL218" s="99"/>
      <c r="FM218" s="99"/>
      <c r="FN218" s="99"/>
      <c r="FO218" s="99"/>
      <c r="FP218" s="99"/>
      <c r="FQ218" s="99"/>
      <c r="FR218" s="99"/>
      <c r="FS218" s="99"/>
      <c r="FT218" s="99"/>
      <c r="FU218" s="99"/>
    </row>
    <row r="219" spans="10:177" s="1" customFormat="1" ht="15.75"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  <c r="FB219" s="99"/>
      <c r="FC219" s="99"/>
      <c r="FD219" s="99"/>
      <c r="FE219" s="99"/>
      <c r="FF219" s="99"/>
      <c r="FG219" s="99"/>
      <c r="FH219" s="99"/>
      <c r="FI219" s="99"/>
      <c r="FJ219" s="99"/>
      <c r="FK219" s="99"/>
      <c r="FL219" s="99"/>
      <c r="FM219" s="99"/>
      <c r="FN219" s="99"/>
      <c r="FO219" s="99"/>
      <c r="FP219" s="99"/>
      <c r="FQ219" s="99"/>
      <c r="FR219" s="99"/>
      <c r="FS219" s="99"/>
      <c r="FT219" s="99"/>
      <c r="FU219" s="99"/>
    </row>
    <row r="220" spans="10:177" s="1" customFormat="1" ht="15.75"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99"/>
      <c r="DD220" s="99"/>
      <c r="DE220" s="99"/>
      <c r="DF220" s="99"/>
      <c r="DG220" s="99"/>
      <c r="DH220" s="99"/>
      <c r="DI220" s="99"/>
      <c r="DJ220" s="99"/>
      <c r="DK220" s="99"/>
      <c r="DL220" s="99"/>
      <c r="DM220" s="99"/>
      <c r="DN220" s="99"/>
      <c r="DO220" s="99"/>
      <c r="DP220" s="99"/>
      <c r="DQ220" s="99"/>
      <c r="DR220" s="99"/>
      <c r="DS220" s="99"/>
      <c r="DT220" s="99"/>
      <c r="DU220" s="99"/>
      <c r="DV220" s="99"/>
      <c r="DW220" s="99"/>
      <c r="DX220" s="99"/>
      <c r="DY220" s="99"/>
      <c r="DZ220" s="99"/>
      <c r="EA220" s="99"/>
      <c r="EB220" s="99"/>
      <c r="EC220" s="99"/>
      <c r="ED220" s="99"/>
      <c r="EE220" s="99"/>
      <c r="EF220" s="99"/>
      <c r="EG220" s="99"/>
      <c r="EH220" s="99"/>
      <c r="EI220" s="99"/>
      <c r="EJ220" s="99"/>
      <c r="EK220" s="99"/>
      <c r="EL220" s="99"/>
      <c r="EM220" s="99"/>
      <c r="EN220" s="99"/>
      <c r="EO220" s="99"/>
      <c r="EP220" s="99"/>
      <c r="EQ220" s="99"/>
      <c r="ER220" s="99"/>
      <c r="ES220" s="99"/>
      <c r="ET220" s="99"/>
      <c r="EU220" s="99"/>
      <c r="EV220" s="99"/>
      <c r="EW220" s="99"/>
      <c r="EX220" s="99"/>
      <c r="EY220" s="99"/>
      <c r="EZ220" s="99"/>
      <c r="FA220" s="99"/>
      <c r="FB220" s="99"/>
      <c r="FC220" s="99"/>
      <c r="FD220" s="99"/>
      <c r="FE220" s="99"/>
      <c r="FF220" s="99"/>
      <c r="FG220" s="99"/>
      <c r="FH220" s="99"/>
      <c r="FI220" s="99"/>
      <c r="FJ220" s="99"/>
      <c r="FK220" s="99"/>
      <c r="FL220" s="99"/>
      <c r="FM220" s="99"/>
      <c r="FN220" s="99"/>
      <c r="FO220" s="99"/>
      <c r="FP220" s="99"/>
      <c r="FQ220" s="99"/>
      <c r="FR220" s="99"/>
      <c r="FS220" s="99"/>
      <c r="FT220" s="99"/>
      <c r="FU220" s="99"/>
    </row>
    <row r="221" spans="10:177" s="1" customFormat="1" ht="15.75"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99"/>
      <c r="DF221" s="99"/>
      <c r="DG221" s="99"/>
      <c r="DH221" s="99"/>
      <c r="DI221" s="99"/>
      <c r="DJ221" s="99"/>
      <c r="DK221" s="99"/>
      <c r="DL221" s="99"/>
      <c r="DM221" s="99"/>
      <c r="DN221" s="99"/>
      <c r="DO221" s="99"/>
      <c r="DP221" s="99"/>
      <c r="DQ221" s="99"/>
      <c r="DR221" s="99"/>
      <c r="DS221" s="99"/>
      <c r="DT221" s="99"/>
      <c r="DU221" s="99"/>
      <c r="DV221" s="99"/>
      <c r="DW221" s="99"/>
      <c r="DX221" s="99"/>
      <c r="DY221" s="99"/>
      <c r="DZ221" s="99"/>
      <c r="EA221" s="99"/>
      <c r="EB221" s="99"/>
      <c r="EC221" s="99"/>
      <c r="ED221" s="99"/>
      <c r="EE221" s="99"/>
      <c r="EF221" s="99"/>
      <c r="EG221" s="99"/>
      <c r="EH221" s="99"/>
      <c r="EI221" s="99"/>
      <c r="EJ221" s="99"/>
      <c r="EK221" s="99"/>
      <c r="EL221" s="99"/>
      <c r="EM221" s="99"/>
      <c r="EN221" s="99"/>
      <c r="EO221" s="99"/>
      <c r="EP221" s="99"/>
      <c r="EQ221" s="99"/>
      <c r="ER221" s="99"/>
      <c r="ES221" s="99"/>
      <c r="ET221" s="99"/>
      <c r="EU221" s="99"/>
      <c r="EV221" s="99"/>
      <c r="EW221" s="99"/>
      <c r="EX221" s="99"/>
      <c r="EY221" s="99"/>
      <c r="EZ221" s="99"/>
      <c r="FA221" s="99"/>
      <c r="FB221" s="99"/>
      <c r="FC221" s="99"/>
      <c r="FD221" s="99"/>
      <c r="FE221" s="99"/>
      <c r="FF221" s="99"/>
      <c r="FG221" s="99"/>
      <c r="FH221" s="99"/>
      <c r="FI221" s="99"/>
      <c r="FJ221" s="99"/>
      <c r="FK221" s="99"/>
      <c r="FL221" s="99"/>
      <c r="FM221" s="99"/>
      <c r="FN221" s="99"/>
      <c r="FO221" s="99"/>
      <c r="FP221" s="99"/>
      <c r="FQ221" s="99"/>
      <c r="FR221" s="99"/>
      <c r="FS221" s="99"/>
      <c r="FT221" s="99"/>
      <c r="FU221" s="99"/>
    </row>
    <row r="222" spans="10:177" s="1" customFormat="1" ht="15.75"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  <c r="DA222" s="99"/>
      <c r="DB222" s="99"/>
      <c r="DC222" s="99"/>
      <c r="DD222" s="99"/>
      <c r="DE222" s="99"/>
      <c r="DF222" s="99"/>
      <c r="DG222" s="99"/>
      <c r="DH222" s="99"/>
      <c r="DI222" s="99"/>
      <c r="DJ222" s="99"/>
      <c r="DK222" s="99"/>
      <c r="DL222" s="99"/>
      <c r="DM222" s="99"/>
      <c r="DN222" s="99"/>
      <c r="DO222" s="99"/>
      <c r="DP222" s="99"/>
      <c r="DQ222" s="99"/>
      <c r="DR222" s="99"/>
      <c r="DS222" s="99"/>
      <c r="DT222" s="99"/>
      <c r="DU222" s="99"/>
      <c r="DV222" s="99"/>
      <c r="DW222" s="99"/>
      <c r="DX222" s="99"/>
      <c r="DY222" s="99"/>
      <c r="DZ222" s="99"/>
      <c r="EA222" s="99"/>
      <c r="EB222" s="99"/>
      <c r="EC222" s="99"/>
      <c r="ED222" s="99"/>
      <c r="EE222" s="99"/>
      <c r="EF222" s="99"/>
      <c r="EG222" s="99"/>
      <c r="EH222" s="99"/>
      <c r="EI222" s="99"/>
      <c r="EJ222" s="99"/>
      <c r="EK222" s="99"/>
      <c r="EL222" s="99"/>
      <c r="EM222" s="99"/>
      <c r="EN222" s="99"/>
      <c r="EO222" s="99"/>
      <c r="EP222" s="99"/>
      <c r="EQ222" s="99"/>
      <c r="ER222" s="99"/>
      <c r="ES222" s="99"/>
      <c r="ET222" s="99"/>
      <c r="EU222" s="99"/>
      <c r="EV222" s="99"/>
      <c r="EW222" s="99"/>
      <c r="EX222" s="99"/>
      <c r="EY222" s="99"/>
      <c r="EZ222" s="99"/>
      <c r="FA222" s="99"/>
      <c r="FB222" s="99"/>
      <c r="FC222" s="99"/>
      <c r="FD222" s="99"/>
      <c r="FE222" s="99"/>
      <c r="FF222" s="99"/>
      <c r="FG222" s="99"/>
      <c r="FH222" s="99"/>
      <c r="FI222" s="99"/>
      <c r="FJ222" s="99"/>
      <c r="FK222" s="99"/>
      <c r="FL222" s="99"/>
      <c r="FM222" s="99"/>
      <c r="FN222" s="99"/>
      <c r="FO222" s="99"/>
      <c r="FP222" s="99"/>
      <c r="FQ222" s="99"/>
      <c r="FR222" s="99"/>
      <c r="FS222" s="99"/>
      <c r="FT222" s="99"/>
      <c r="FU222" s="99"/>
    </row>
    <row r="223" spans="10:177" s="1" customFormat="1" ht="15.75"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99"/>
      <c r="FH223" s="99"/>
      <c r="FI223" s="99"/>
      <c r="FJ223" s="99"/>
      <c r="FK223" s="99"/>
      <c r="FL223" s="99"/>
      <c r="FM223" s="99"/>
      <c r="FN223" s="99"/>
      <c r="FO223" s="99"/>
      <c r="FP223" s="99"/>
      <c r="FQ223" s="99"/>
      <c r="FR223" s="99"/>
      <c r="FS223" s="99"/>
      <c r="FT223" s="99"/>
      <c r="FU223" s="99"/>
    </row>
    <row r="224" spans="10:177" s="1" customFormat="1" ht="15.75"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  <c r="DA224" s="99"/>
      <c r="DB224" s="99"/>
      <c r="DC224" s="99"/>
      <c r="DD224" s="99"/>
      <c r="DE224" s="99"/>
      <c r="DF224" s="99"/>
      <c r="DG224" s="99"/>
      <c r="DH224" s="99"/>
      <c r="DI224" s="99"/>
      <c r="DJ224" s="99"/>
      <c r="DK224" s="99"/>
      <c r="DL224" s="99"/>
      <c r="DM224" s="99"/>
      <c r="DN224" s="99"/>
      <c r="DO224" s="99"/>
      <c r="DP224" s="99"/>
      <c r="DQ224" s="99"/>
      <c r="DR224" s="99"/>
      <c r="DS224" s="99"/>
      <c r="DT224" s="99"/>
      <c r="DU224" s="99"/>
      <c r="DV224" s="99"/>
      <c r="DW224" s="99"/>
      <c r="DX224" s="99"/>
      <c r="DY224" s="99"/>
      <c r="DZ224" s="99"/>
      <c r="EA224" s="99"/>
      <c r="EB224" s="99"/>
      <c r="EC224" s="99"/>
      <c r="ED224" s="99"/>
      <c r="EE224" s="99"/>
      <c r="EF224" s="99"/>
      <c r="EG224" s="99"/>
      <c r="EH224" s="99"/>
      <c r="EI224" s="99"/>
      <c r="EJ224" s="99"/>
      <c r="EK224" s="99"/>
      <c r="EL224" s="99"/>
      <c r="EM224" s="99"/>
      <c r="EN224" s="99"/>
      <c r="EO224" s="99"/>
      <c r="EP224" s="99"/>
      <c r="EQ224" s="99"/>
      <c r="ER224" s="99"/>
      <c r="ES224" s="99"/>
      <c r="ET224" s="99"/>
      <c r="EU224" s="99"/>
      <c r="EV224" s="99"/>
      <c r="EW224" s="99"/>
      <c r="EX224" s="99"/>
      <c r="EY224" s="99"/>
      <c r="EZ224" s="99"/>
      <c r="FA224" s="99"/>
      <c r="FB224" s="99"/>
      <c r="FC224" s="99"/>
      <c r="FD224" s="99"/>
      <c r="FE224" s="99"/>
      <c r="FF224" s="99"/>
      <c r="FG224" s="99"/>
      <c r="FH224" s="99"/>
      <c r="FI224" s="99"/>
      <c r="FJ224" s="99"/>
      <c r="FK224" s="99"/>
      <c r="FL224" s="99"/>
      <c r="FM224" s="99"/>
      <c r="FN224" s="99"/>
      <c r="FO224" s="99"/>
      <c r="FP224" s="99"/>
      <c r="FQ224" s="99"/>
      <c r="FR224" s="99"/>
      <c r="FS224" s="99"/>
      <c r="FT224" s="99"/>
      <c r="FU224" s="99"/>
    </row>
    <row r="225" spans="10:177" s="1" customFormat="1" ht="15.75"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  <c r="CW225" s="99"/>
      <c r="CX225" s="99"/>
      <c r="CY225" s="99"/>
      <c r="CZ225" s="99"/>
      <c r="DA225" s="99"/>
      <c r="DB225" s="99"/>
      <c r="DC225" s="99"/>
      <c r="DD225" s="99"/>
      <c r="DE225" s="99"/>
      <c r="DF225" s="99"/>
      <c r="DG225" s="99"/>
      <c r="DH225" s="99"/>
      <c r="DI225" s="99"/>
      <c r="DJ225" s="99"/>
      <c r="DK225" s="99"/>
      <c r="DL225" s="99"/>
      <c r="DM225" s="99"/>
      <c r="DN225" s="99"/>
      <c r="DO225" s="99"/>
      <c r="DP225" s="99"/>
      <c r="DQ225" s="99"/>
      <c r="DR225" s="99"/>
      <c r="DS225" s="99"/>
      <c r="DT225" s="99"/>
      <c r="DU225" s="99"/>
      <c r="DV225" s="99"/>
      <c r="DW225" s="99"/>
      <c r="DX225" s="99"/>
      <c r="DY225" s="99"/>
      <c r="DZ225" s="99"/>
      <c r="EA225" s="99"/>
      <c r="EB225" s="99"/>
      <c r="EC225" s="99"/>
      <c r="ED225" s="99"/>
      <c r="EE225" s="99"/>
      <c r="EF225" s="99"/>
      <c r="EG225" s="99"/>
      <c r="EH225" s="99"/>
      <c r="EI225" s="99"/>
      <c r="EJ225" s="99"/>
      <c r="EK225" s="99"/>
      <c r="EL225" s="99"/>
      <c r="EM225" s="99"/>
      <c r="EN225" s="99"/>
      <c r="EO225" s="99"/>
      <c r="EP225" s="99"/>
      <c r="EQ225" s="99"/>
      <c r="ER225" s="99"/>
      <c r="ES225" s="99"/>
      <c r="ET225" s="99"/>
      <c r="EU225" s="99"/>
      <c r="EV225" s="99"/>
      <c r="EW225" s="99"/>
      <c r="EX225" s="99"/>
      <c r="EY225" s="99"/>
      <c r="EZ225" s="99"/>
      <c r="FA225" s="99"/>
      <c r="FB225" s="99"/>
      <c r="FC225" s="99"/>
      <c r="FD225" s="99"/>
      <c r="FE225" s="99"/>
      <c r="FF225" s="99"/>
      <c r="FG225" s="99"/>
      <c r="FH225" s="99"/>
      <c r="FI225" s="99"/>
      <c r="FJ225" s="99"/>
      <c r="FK225" s="99"/>
      <c r="FL225" s="99"/>
      <c r="FM225" s="99"/>
      <c r="FN225" s="99"/>
      <c r="FO225" s="99"/>
      <c r="FP225" s="99"/>
      <c r="FQ225" s="99"/>
      <c r="FR225" s="99"/>
      <c r="FS225" s="99"/>
      <c r="FT225" s="99"/>
      <c r="FU225" s="99"/>
    </row>
    <row r="226" spans="10:177" s="1" customFormat="1" ht="15.75"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99"/>
      <c r="DD226" s="99"/>
      <c r="DE226" s="99"/>
      <c r="DF226" s="99"/>
      <c r="DG226" s="99"/>
      <c r="DH226" s="99"/>
      <c r="DI226" s="99"/>
      <c r="DJ226" s="99"/>
      <c r="DK226" s="99"/>
      <c r="DL226" s="99"/>
      <c r="DM226" s="99"/>
      <c r="DN226" s="99"/>
      <c r="DO226" s="99"/>
      <c r="DP226" s="99"/>
      <c r="DQ226" s="99"/>
      <c r="DR226" s="99"/>
      <c r="DS226" s="99"/>
      <c r="DT226" s="99"/>
      <c r="DU226" s="99"/>
      <c r="DV226" s="99"/>
      <c r="DW226" s="99"/>
      <c r="DX226" s="99"/>
      <c r="DY226" s="99"/>
      <c r="DZ226" s="99"/>
      <c r="EA226" s="99"/>
      <c r="EB226" s="99"/>
      <c r="EC226" s="99"/>
      <c r="ED226" s="99"/>
      <c r="EE226" s="99"/>
      <c r="EF226" s="99"/>
      <c r="EG226" s="99"/>
      <c r="EH226" s="99"/>
      <c r="EI226" s="99"/>
      <c r="EJ226" s="99"/>
      <c r="EK226" s="99"/>
      <c r="EL226" s="99"/>
      <c r="EM226" s="99"/>
      <c r="EN226" s="99"/>
      <c r="EO226" s="99"/>
      <c r="EP226" s="99"/>
      <c r="EQ226" s="99"/>
      <c r="ER226" s="99"/>
      <c r="ES226" s="99"/>
      <c r="ET226" s="99"/>
      <c r="EU226" s="99"/>
      <c r="EV226" s="99"/>
      <c r="EW226" s="99"/>
      <c r="EX226" s="99"/>
      <c r="EY226" s="99"/>
      <c r="EZ226" s="99"/>
      <c r="FA226" s="99"/>
      <c r="FB226" s="99"/>
      <c r="FC226" s="99"/>
      <c r="FD226" s="99"/>
      <c r="FE226" s="99"/>
      <c r="FF226" s="99"/>
      <c r="FG226" s="99"/>
      <c r="FH226" s="99"/>
      <c r="FI226" s="99"/>
      <c r="FJ226" s="99"/>
      <c r="FK226" s="99"/>
      <c r="FL226" s="99"/>
      <c r="FM226" s="99"/>
      <c r="FN226" s="99"/>
      <c r="FO226" s="99"/>
      <c r="FP226" s="99"/>
      <c r="FQ226" s="99"/>
      <c r="FR226" s="99"/>
      <c r="FS226" s="99"/>
      <c r="FT226" s="99"/>
      <c r="FU226" s="99"/>
    </row>
    <row r="227" spans="10:177" s="1" customFormat="1" ht="15.75"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99"/>
      <c r="FI227" s="99"/>
      <c r="FJ227" s="99"/>
      <c r="FK227" s="99"/>
      <c r="FL227" s="99"/>
      <c r="FM227" s="99"/>
      <c r="FN227" s="99"/>
      <c r="FO227" s="99"/>
      <c r="FP227" s="99"/>
      <c r="FQ227" s="99"/>
      <c r="FR227" s="99"/>
      <c r="FS227" s="99"/>
      <c r="FT227" s="99"/>
      <c r="FU227" s="99"/>
    </row>
    <row r="228" spans="10:177" s="1" customFormat="1" ht="15.75"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  <c r="FB228" s="99"/>
      <c r="FC228" s="99"/>
      <c r="FD228" s="99"/>
      <c r="FE228" s="99"/>
      <c r="FF228" s="99"/>
      <c r="FG228" s="99"/>
      <c r="FH228" s="99"/>
      <c r="FI228" s="99"/>
      <c r="FJ228" s="99"/>
      <c r="FK228" s="99"/>
      <c r="FL228" s="99"/>
      <c r="FM228" s="99"/>
      <c r="FN228" s="99"/>
      <c r="FO228" s="99"/>
      <c r="FP228" s="99"/>
      <c r="FQ228" s="99"/>
      <c r="FR228" s="99"/>
      <c r="FS228" s="99"/>
      <c r="FT228" s="99"/>
      <c r="FU228" s="99"/>
    </row>
    <row r="229" spans="10:177" s="1" customFormat="1" ht="15.75"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99"/>
      <c r="DD229" s="99"/>
      <c r="DE229" s="99"/>
      <c r="DF229" s="99"/>
      <c r="DG229" s="99"/>
      <c r="DH229" s="99"/>
      <c r="DI229" s="99"/>
      <c r="DJ229" s="99"/>
      <c r="DK229" s="99"/>
      <c r="DL229" s="99"/>
      <c r="DM229" s="99"/>
      <c r="DN229" s="99"/>
      <c r="DO229" s="99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99"/>
      <c r="EY229" s="99"/>
      <c r="EZ229" s="99"/>
      <c r="FA229" s="99"/>
      <c r="FB229" s="99"/>
      <c r="FC229" s="99"/>
      <c r="FD229" s="99"/>
      <c r="FE229" s="99"/>
      <c r="FF229" s="99"/>
      <c r="FG229" s="99"/>
      <c r="FH229" s="99"/>
      <c r="FI229" s="99"/>
      <c r="FJ229" s="99"/>
      <c r="FK229" s="99"/>
      <c r="FL229" s="99"/>
      <c r="FM229" s="99"/>
      <c r="FN229" s="99"/>
      <c r="FO229" s="99"/>
      <c r="FP229" s="99"/>
      <c r="FQ229" s="99"/>
      <c r="FR229" s="99"/>
      <c r="FS229" s="99"/>
      <c r="FT229" s="99"/>
      <c r="FU229" s="99"/>
    </row>
    <row r="230" spans="10:177" s="1" customFormat="1" ht="15.75"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  <c r="CZ230" s="99"/>
      <c r="DA230" s="99"/>
      <c r="DB230" s="99"/>
      <c r="DC230" s="99"/>
      <c r="DD230" s="99"/>
      <c r="DE230" s="99"/>
      <c r="DF230" s="99"/>
      <c r="DG230" s="99"/>
      <c r="DH230" s="99"/>
      <c r="DI230" s="99"/>
      <c r="DJ230" s="99"/>
      <c r="DK230" s="99"/>
      <c r="DL230" s="99"/>
      <c r="DM230" s="99"/>
      <c r="DN230" s="99"/>
      <c r="DO230" s="99"/>
      <c r="DP230" s="99"/>
      <c r="DQ230" s="99"/>
      <c r="DR230" s="99"/>
      <c r="DS230" s="99"/>
      <c r="DT230" s="99"/>
      <c r="DU230" s="99"/>
      <c r="DV230" s="99"/>
      <c r="DW230" s="99"/>
      <c r="DX230" s="99"/>
      <c r="DY230" s="99"/>
      <c r="DZ230" s="99"/>
      <c r="EA230" s="99"/>
      <c r="EB230" s="99"/>
      <c r="EC230" s="99"/>
      <c r="ED230" s="99"/>
      <c r="EE230" s="99"/>
      <c r="EF230" s="99"/>
      <c r="EG230" s="99"/>
      <c r="EH230" s="99"/>
      <c r="EI230" s="99"/>
      <c r="EJ230" s="99"/>
      <c r="EK230" s="99"/>
      <c r="EL230" s="99"/>
      <c r="EM230" s="99"/>
      <c r="EN230" s="99"/>
      <c r="EO230" s="99"/>
      <c r="EP230" s="99"/>
      <c r="EQ230" s="99"/>
      <c r="ER230" s="99"/>
      <c r="ES230" s="99"/>
      <c r="ET230" s="99"/>
      <c r="EU230" s="99"/>
      <c r="EV230" s="99"/>
      <c r="EW230" s="99"/>
      <c r="EX230" s="99"/>
      <c r="EY230" s="99"/>
      <c r="EZ230" s="99"/>
      <c r="FA230" s="99"/>
      <c r="FB230" s="99"/>
      <c r="FC230" s="99"/>
      <c r="FD230" s="99"/>
      <c r="FE230" s="99"/>
      <c r="FF230" s="99"/>
      <c r="FG230" s="99"/>
      <c r="FH230" s="99"/>
      <c r="FI230" s="99"/>
      <c r="FJ230" s="99"/>
      <c r="FK230" s="99"/>
      <c r="FL230" s="99"/>
      <c r="FM230" s="99"/>
      <c r="FN230" s="99"/>
      <c r="FO230" s="99"/>
      <c r="FP230" s="99"/>
      <c r="FQ230" s="99"/>
      <c r="FR230" s="99"/>
      <c r="FS230" s="99"/>
      <c r="FT230" s="99"/>
      <c r="FU230" s="99"/>
    </row>
    <row r="231" spans="10:177" s="1" customFormat="1" ht="15.75"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9"/>
      <c r="DK231" s="99"/>
      <c r="DL231" s="99"/>
      <c r="DM231" s="99"/>
      <c r="DN231" s="99"/>
      <c r="DO231" s="99"/>
      <c r="DP231" s="99"/>
      <c r="DQ231" s="99"/>
      <c r="DR231" s="99"/>
      <c r="DS231" s="99"/>
      <c r="DT231" s="99"/>
      <c r="DU231" s="99"/>
      <c r="DV231" s="99"/>
      <c r="DW231" s="99"/>
      <c r="DX231" s="99"/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9"/>
      <c r="EK231" s="99"/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9"/>
      <c r="EX231" s="99"/>
      <c r="EY231" s="99"/>
      <c r="EZ231" s="99"/>
      <c r="FA231" s="99"/>
      <c r="FB231" s="99"/>
      <c r="FC231" s="99"/>
      <c r="FD231" s="99"/>
      <c r="FE231" s="99"/>
      <c r="FF231" s="99"/>
      <c r="FG231" s="99"/>
      <c r="FH231" s="99"/>
      <c r="FI231" s="99"/>
      <c r="FJ231" s="99"/>
      <c r="FK231" s="99"/>
      <c r="FL231" s="99"/>
      <c r="FM231" s="99"/>
      <c r="FN231" s="99"/>
      <c r="FO231" s="99"/>
      <c r="FP231" s="99"/>
      <c r="FQ231" s="99"/>
      <c r="FR231" s="99"/>
      <c r="FS231" s="99"/>
      <c r="FT231" s="99"/>
      <c r="FU231" s="99"/>
    </row>
    <row r="232" spans="10:177" s="1" customFormat="1" ht="15.75"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  <c r="DA232" s="99"/>
      <c r="DB232" s="99"/>
      <c r="DC232" s="99"/>
      <c r="DD232" s="99"/>
      <c r="DE232" s="99"/>
      <c r="DF232" s="99"/>
      <c r="DG232" s="99"/>
      <c r="DH232" s="99"/>
      <c r="DI232" s="99"/>
      <c r="DJ232" s="99"/>
      <c r="DK232" s="99"/>
      <c r="DL232" s="99"/>
      <c r="DM232" s="99"/>
      <c r="DN232" s="99"/>
      <c r="DO232" s="99"/>
      <c r="DP232" s="99"/>
      <c r="DQ232" s="99"/>
      <c r="DR232" s="99"/>
      <c r="DS232" s="99"/>
      <c r="DT232" s="99"/>
      <c r="DU232" s="99"/>
      <c r="DV232" s="99"/>
      <c r="DW232" s="99"/>
      <c r="DX232" s="99"/>
      <c r="DY232" s="99"/>
      <c r="DZ232" s="99"/>
      <c r="EA232" s="99"/>
      <c r="EB232" s="99"/>
      <c r="EC232" s="99"/>
      <c r="ED232" s="99"/>
      <c r="EE232" s="99"/>
      <c r="EF232" s="99"/>
      <c r="EG232" s="99"/>
      <c r="EH232" s="99"/>
      <c r="EI232" s="99"/>
      <c r="EJ232" s="99"/>
      <c r="EK232" s="99"/>
      <c r="EL232" s="99"/>
      <c r="EM232" s="99"/>
      <c r="EN232" s="99"/>
      <c r="EO232" s="99"/>
      <c r="EP232" s="99"/>
      <c r="EQ232" s="99"/>
      <c r="ER232" s="99"/>
      <c r="ES232" s="99"/>
      <c r="ET232" s="99"/>
      <c r="EU232" s="99"/>
      <c r="EV232" s="99"/>
      <c r="EW232" s="99"/>
      <c r="EX232" s="99"/>
      <c r="EY232" s="99"/>
      <c r="EZ232" s="99"/>
      <c r="FA232" s="99"/>
      <c r="FB232" s="99"/>
      <c r="FC232" s="99"/>
      <c r="FD232" s="99"/>
      <c r="FE232" s="99"/>
      <c r="FF232" s="99"/>
      <c r="FG232" s="99"/>
      <c r="FH232" s="99"/>
      <c r="FI232" s="99"/>
      <c r="FJ232" s="99"/>
      <c r="FK232" s="99"/>
      <c r="FL232" s="99"/>
      <c r="FM232" s="99"/>
      <c r="FN232" s="99"/>
      <c r="FO232" s="99"/>
      <c r="FP232" s="99"/>
      <c r="FQ232" s="99"/>
      <c r="FR232" s="99"/>
      <c r="FS232" s="99"/>
      <c r="FT232" s="99"/>
      <c r="FU232" s="99"/>
    </row>
    <row r="233" spans="10:177" s="1" customFormat="1" ht="15.75"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  <c r="DA233" s="99"/>
      <c r="DB233" s="99"/>
      <c r="DC233" s="99"/>
      <c r="DD233" s="99"/>
      <c r="DE233" s="99"/>
      <c r="DF233" s="99"/>
      <c r="DG233" s="99"/>
      <c r="DH233" s="99"/>
      <c r="DI233" s="99"/>
      <c r="DJ233" s="99"/>
      <c r="DK233" s="99"/>
      <c r="DL233" s="99"/>
      <c r="DM233" s="99"/>
      <c r="DN233" s="99"/>
      <c r="DO233" s="99"/>
      <c r="DP233" s="99"/>
      <c r="DQ233" s="99"/>
      <c r="DR233" s="99"/>
      <c r="DS233" s="99"/>
      <c r="DT233" s="99"/>
      <c r="DU233" s="99"/>
      <c r="DV233" s="99"/>
      <c r="DW233" s="99"/>
      <c r="DX233" s="99"/>
      <c r="DY233" s="99"/>
      <c r="DZ233" s="99"/>
      <c r="EA233" s="99"/>
      <c r="EB233" s="99"/>
      <c r="EC233" s="99"/>
      <c r="ED233" s="99"/>
      <c r="EE233" s="99"/>
      <c r="EF233" s="99"/>
      <c r="EG233" s="99"/>
      <c r="EH233" s="99"/>
      <c r="EI233" s="99"/>
      <c r="EJ233" s="99"/>
      <c r="EK233" s="99"/>
      <c r="EL233" s="99"/>
      <c r="EM233" s="99"/>
      <c r="EN233" s="99"/>
      <c r="EO233" s="99"/>
      <c r="EP233" s="99"/>
      <c r="EQ233" s="99"/>
      <c r="ER233" s="99"/>
      <c r="ES233" s="99"/>
      <c r="ET233" s="99"/>
      <c r="EU233" s="99"/>
      <c r="EV233" s="99"/>
      <c r="EW233" s="99"/>
      <c r="EX233" s="99"/>
      <c r="EY233" s="99"/>
      <c r="EZ233" s="99"/>
      <c r="FA233" s="99"/>
      <c r="FB233" s="99"/>
      <c r="FC233" s="99"/>
      <c r="FD233" s="99"/>
      <c r="FE233" s="99"/>
      <c r="FF233" s="99"/>
      <c r="FG233" s="99"/>
      <c r="FH233" s="99"/>
      <c r="FI233" s="99"/>
      <c r="FJ233" s="99"/>
      <c r="FK233" s="99"/>
      <c r="FL233" s="99"/>
      <c r="FM233" s="99"/>
      <c r="FN233" s="99"/>
      <c r="FO233" s="99"/>
      <c r="FP233" s="99"/>
      <c r="FQ233" s="99"/>
      <c r="FR233" s="99"/>
      <c r="FS233" s="99"/>
      <c r="FT233" s="99"/>
      <c r="FU233" s="99"/>
    </row>
    <row r="234" spans="10:177" s="1" customFormat="1" ht="15.75"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99"/>
      <c r="DE234" s="99"/>
      <c r="DF234" s="99"/>
      <c r="DG234" s="99"/>
      <c r="DH234" s="99"/>
      <c r="DI234" s="99"/>
      <c r="DJ234" s="99"/>
      <c r="DK234" s="99"/>
      <c r="DL234" s="99"/>
      <c r="DM234" s="99"/>
      <c r="DN234" s="99"/>
      <c r="DO234" s="99"/>
      <c r="DP234" s="99"/>
      <c r="DQ234" s="99"/>
      <c r="DR234" s="99"/>
      <c r="DS234" s="99"/>
      <c r="DT234" s="99"/>
      <c r="DU234" s="99"/>
      <c r="DV234" s="99"/>
      <c r="DW234" s="99"/>
      <c r="DX234" s="99"/>
      <c r="DY234" s="99"/>
      <c r="DZ234" s="99"/>
      <c r="EA234" s="99"/>
      <c r="EB234" s="99"/>
      <c r="EC234" s="99"/>
      <c r="ED234" s="99"/>
      <c r="EE234" s="99"/>
      <c r="EF234" s="99"/>
      <c r="EG234" s="99"/>
      <c r="EH234" s="99"/>
      <c r="EI234" s="99"/>
      <c r="EJ234" s="99"/>
      <c r="EK234" s="99"/>
      <c r="EL234" s="99"/>
      <c r="EM234" s="99"/>
      <c r="EN234" s="99"/>
      <c r="EO234" s="99"/>
      <c r="EP234" s="99"/>
      <c r="EQ234" s="99"/>
      <c r="ER234" s="99"/>
      <c r="ES234" s="99"/>
      <c r="ET234" s="99"/>
      <c r="EU234" s="99"/>
      <c r="EV234" s="99"/>
      <c r="EW234" s="99"/>
      <c r="EX234" s="99"/>
      <c r="EY234" s="99"/>
      <c r="EZ234" s="99"/>
      <c r="FA234" s="99"/>
      <c r="FB234" s="99"/>
      <c r="FC234" s="99"/>
      <c r="FD234" s="99"/>
      <c r="FE234" s="99"/>
      <c r="FF234" s="99"/>
      <c r="FG234" s="99"/>
      <c r="FH234" s="99"/>
      <c r="FI234" s="99"/>
      <c r="FJ234" s="99"/>
      <c r="FK234" s="99"/>
      <c r="FL234" s="99"/>
      <c r="FM234" s="99"/>
      <c r="FN234" s="99"/>
      <c r="FO234" s="99"/>
      <c r="FP234" s="99"/>
      <c r="FQ234" s="99"/>
      <c r="FR234" s="99"/>
      <c r="FS234" s="99"/>
      <c r="FT234" s="99"/>
      <c r="FU234" s="99"/>
    </row>
    <row r="235" spans="10:177" s="1" customFormat="1" ht="15.75"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99"/>
      <c r="FF235" s="99"/>
      <c r="FG235" s="99"/>
      <c r="FH235" s="99"/>
      <c r="FI235" s="99"/>
      <c r="FJ235" s="99"/>
      <c r="FK235" s="99"/>
      <c r="FL235" s="99"/>
      <c r="FM235" s="99"/>
      <c r="FN235" s="99"/>
      <c r="FO235" s="99"/>
      <c r="FP235" s="99"/>
      <c r="FQ235" s="99"/>
      <c r="FR235" s="99"/>
      <c r="FS235" s="99"/>
      <c r="FT235" s="99"/>
      <c r="FU235" s="99"/>
    </row>
    <row r="236" spans="10:177" s="1" customFormat="1" ht="15.75"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99"/>
      <c r="DL236" s="99"/>
      <c r="DM236" s="99"/>
      <c r="DN236" s="99"/>
      <c r="DO236" s="99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  <c r="EQ236" s="99"/>
      <c r="ER236" s="99"/>
      <c r="ES236" s="99"/>
      <c r="ET236" s="99"/>
      <c r="EU236" s="99"/>
      <c r="EV236" s="99"/>
      <c r="EW236" s="99"/>
      <c r="EX236" s="99"/>
      <c r="EY236" s="99"/>
      <c r="EZ236" s="99"/>
      <c r="FA236" s="99"/>
      <c r="FB236" s="99"/>
      <c r="FC236" s="99"/>
      <c r="FD236" s="99"/>
      <c r="FE236" s="99"/>
      <c r="FF236" s="99"/>
      <c r="FG236" s="99"/>
      <c r="FH236" s="99"/>
      <c r="FI236" s="99"/>
      <c r="FJ236" s="99"/>
      <c r="FK236" s="99"/>
      <c r="FL236" s="99"/>
      <c r="FM236" s="99"/>
      <c r="FN236" s="99"/>
      <c r="FO236" s="99"/>
      <c r="FP236" s="99"/>
      <c r="FQ236" s="99"/>
      <c r="FR236" s="99"/>
      <c r="FS236" s="99"/>
      <c r="FT236" s="99"/>
      <c r="FU236" s="99"/>
    </row>
    <row r="237" spans="10:177" s="1" customFormat="1" ht="15.75"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99"/>
      <c r="DE237" s="99"/>
      <c r="DF237" s="99"/>
      <c r="DG237" s="99"/>
      <c r="DH237" s="99"/>
      <c r="DI237" s="99"/>
      <c r="DJ237" s="99"/>
      <c r="DK237" s="99"/>
      <c r="DL237" s="99"/>
      <c r="DM237" s="99"/>
      <c r="DN237" s="99"/>
      <c r="DO237" s="99"/>
      <c r="DP237" s="99"/>
      <c r="DQ237" s="99"/>
      <c r="DR237" s="99"/>
      <c r="DS237" s="99"/>
      <c r="DT237" s="99"/>
      <c r="DU237" s="99"/>
      <c r="DV237" s="99"/>
      <c r="DW237" s="99"/>
      <c r="DX237" s="99"/>
      <c r="DY237" s="99"/>
      <c r="DZ237" s="99"/>
      <c r="EA237" s="99"/>
      <c r="EB237" s="99"/>
      <c r="EC237" s="99"/>
      <c r="ED237" s="99"/>
      <c r="EE237" s="99"/>
      <c r="EF237" s="99"/>
      <c r="EG237" s="99"/>
      <c r="EH237" s="99"/>
      <c r="EI237" s="99"/>
      <c r="EJ237" s="99"/>
      <c r="EK237" s="99"/>
      <c r="EL237" s="99"/>
      <c r="EM237" s="99"/>
      <c r="EN237" s="99"/>
      <c r="EO237" s="99"/>
      <c r="EP237" s="99"/>
      <c r="EQ237" s="99"/>
      <c r="ER237" s="99"/>
      <c r="ES237" s="99"/>
      <c r="ET237" s="99"/>
      <c r="EU237" s="99"/>
      <c r="EV237" s="99"/>
      <c r="EW237" s="99"/>
      <c r="EX237" s="99"/>
      <c r="EY237" s="99"/>
      <c r="EZ237" s="99"/>
      <c r="FA237" s="99"/>
      <c r="FB237" s="99"/>
      <c r="FC237" s="99"/>
      <c r="FD237" s="99"/>
      <c r="FE237" s="99"/>
      <c r="FF237" s="99"/>
      <c r="FG237" s="99"/>
      <c r="FH237" s="99"/>
      <c r="FI237" s="99"/>
      <c r="FJ237" s="99"/>
      <c r="FK237" s="99"/>
      <c r="FL237" s="99"/>
      <c r="FM237" s="99"/>
      <c r="FN237" s="99"/>
      <c r="FO237" s="99"/>
      <c r="FP237" s="99"/>
      <c r="FQ237" s="99"/>
      <c r="FR237" s="99"/>
      <c r="FS237" s="99"/>
      <c r="FT237" s="99"/>
      <c r="FU237" s="99"/>
    </row>
    <row r="238" spans="10:177" s="1" customFormat="1" ht="15.75"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  <c r="DA238" s="99"/>
      <c r="DB238" s="99"/>
      <c r="DC238" s="99"/>
      <c r="DD238" s="99"/>
      <c r="DE238" s="99"/>
      <c r="DF238" s="99"/>
      <c r="DG238" s="99"/>
      <c r="DH238" s="99"/>
      <c r="DI238" s="99"/>
      <c r="DJ238" s="99"/>
      <c r="DK238" s="99"/>
      <c r="DL238" s="99"/>
      <c r="DM238" s="99"/>
      <c r="DN238" s="99"/>
      <c r="DO238" s="99"/>
      <c r="DP238" s="99"/>
      <c r="DQ238" s="99"/>
      <c r="DR238" s="99"/>
      <c r="DS238" s="99"/>
      <c r="DT238" s="99"/>
      <c r="DU238" s="99"/>
      <c r="DV238" s="99"/>
      <c r="DW238" s="99"/>
      <c r="DX238" s="99"/>
      <c r="DY238" s="99"/>
      <c r="DZ238" s="99"/>
      <c r="EA238" s="99"/>
      <c r="EB238" s="99"/>
      <c r="EC238" s="99"/>
      <c r="ED238" s="99"/>
      <c r="EE238" s="99"/>
      <c r="EF238" s="99"/>
      <c r="EG238" s="99"/>
      <c r="EH238" s="99"/>
      <c r="EI238" s="99"/>
      <c r="EJ238" s="99"/>
      <c r="EK238" s="99"/>
      <c r="EL238" s="99"/>
      <c r="EM238" s="99"/>
      <c r="EN238" s="99"/>
      <c r="EO238" s="99"/>
      <c r="EP238" s="99"/>
      <c r="EQ238" s="99"/>
      <c r="ER238" s="99"/>
      <c r="ES238" s="99"/>
      <c r="ET238" s="99"/>
      <c r="EU238" s="99"/>
      <c r="EV238" s="99"/>
      <c r="EW238" s="99"/>
      <c r="EX238" s="99"/>
      <c r="EY238" s="99"/>
      <c r="EZ238" s="99"/>
      <c r="FA238" s="99"/>
      <c r="FB238" s="99"/>
      <c r="FC238" s="99"/>
      <c r="FD238" s="99"/>
      <c r="FE238" s="99"/>
      <c r="FF238" s="99"/>
      <c r="FG238" s="99"/>
      <c r="FH238" s="99"/>
      <c r="FI238" s="99"/>
      <c r="FJ238" s="99"/>
      <c r="FK238" s="99"/>
      <c r="FL238" s="99"/>
      <c r="FM238" s="99"/>
      <c r="FN238" s="99"/>
      <c r="FO238" s="99"/>
      <c r="FP238" s="99"/>
      <c r="FQ238" s="99"/>
      <c r="FR238" s="99"/>
      <c r="FS238" s="99"/>
      <c r="FT238" s="99"/>
      <c r="FU238" s="99"/>
    </row>
    <row r="239" spans="10:177" s="1" customFormat="1" ht="15.75"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  <c r="CZ239" s="99"/>
      <c r="DA239" s="99"/>
      <c r="DB239" s="99"/>
      <c r="DC239" s="99"/>
      <c r="DD239" s="99"/>
      <c r="DE239" s="99"/>
      <c r="DF239" s="99"/>
      <c r="DG239" s="99"/>
      <c r="DH239" s="99"/>
      <c r="DI239" s="99"/>
      <c r="DJ239" s="99"/>
      <c r="DK239" s="99"/>
      <c r="DL239" s="99"/>
      <c r="DM239" s="99"/>
      <c r="DN239" s="99"/>
      <c r="DO239" s="99"/>
      <c r="DP239" s="99"/>
      <c r="DQ239" s="99"/>
      <c r="DR239" s="99"/>
      <c r="DS239" s="99"/>
      <c r="DT239" s="99"/>
      <c r="DU239" s="99"/>
      <c r="DV239" s="99"/>
      <c r="DW239" s="99"/>
      <c r="DX239" s="99"/>
      <c r="DY239" s="99"/>
      <c r="DZ239" s="99"/>
      <c r="EA239" s="99"/>
      <c r="EB239" s="99"/>
      <c r="EC239" s="99"/>
      <c r="ED239" s="99"/>
      <c r="EE239" s="99"/>
      <c r="EF239" s="99"/>
      <c r="EG239" s="99"/>
      <c r="EH239" s="99"/>
      <c r="EI239" s="99"/>
      <c r="EJ239" s="99"/>
      <c r="EK239" s="99"/>
      <c r="EL239" s="99"/>
      <c r="EM239" s="99"/>
      <c r="EN239" s="99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  <c r="FA239" s="99"/>
      <c r="FB239" s="99"/>
      <c r="FC239" s="99"/>
      <c r="FD239" s="99"/>
      <c r="FE239" s="99"/>
      <c r="FF239" s="99"/>
      <c r="FG239" s="99"/>
      <c r="FH239" s="99"/>
      <c r="FI239" s="99"/>
      <c r="FJ239" s="99"/>
      <c r="FK239" s="99"/>
      <c r="FL239" s="99"/>
      <c r="FM239" s="99"/>
      <c r="FN239" s="99"/>
      <c r="FO239" s="99"/>
      <c r="FP239" s="99"/>
      <c r="FQ239" s="99"/>
      <c r="FR239" s="99"/>
      <c r="FS239" s="99"/>
      <c r="FT239" s="99"/>
      <c r="FU239" s="99"/>
    </row>
    <row r="240" spans="10:177" s="1" customFormat="1" ht="15.75"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  <c r="CW240" s="99"/>
      <c r="CX240" s="99"/>
      <c r="CY240" s="99"/>
      <c r="CZ240" s="99"/>
      <c r="DA240" s="99"/>
      <c r="DB240" s="99"/>
      <c r="DC240" s="99"/>
      <c r="DD240" s="99"/>
      <c r="DE240" s="99"/>
      <c r="DF240" s="99"/>
      <c r="DG240" s="99"/>
      <c r="DH240" s="99"/>
      <c r="DI240" s="99"/>
      <c r="DJ240" s="99"/>
      <c r="DK240" s="99"/>
      <c r="DL240" s="99"/>
      <c r="DM240" s="99"/>
      <c r="DN240" s="99"/>
      <c r="DO240" s="99"/>
      <c r="DP240" s="99"/>
      <c r="DQ240" s="99"/>
      <c r="DR240" s="99"/>
      <c r="DS240" s="99"/>
      <c r="DT240" s="99"/>
      <c r="DU240" s="99"/>
      <c r="DV240" s="99"/>
      <c r="DW240" s="99"/>
      <c r="DX240" s="99"/>
      <c r="DY240" s="99"/>
      <c r="DZ240" s="99"/>
      <c r="EA240" s="99"/>
      <c r="EB240" s="99"/>
      <c r="EC240" s="99"/>
      <c r="ED240" s="99"/>
      <c r="EE240" s="99"/>
      <c r="EF240" s="99"/>
      <c r="EG240" s="99"/>
      <c r="EH240" s="99"/>
      <c r="EI240" s="99"/>
      <c r="EJ240" s="99"/>
      <c r="EK240" s="99"/>
      <c r="EL240" s="99"/>
      <c r="EM240" s="99"/>
      <c r="EN240" s="99"/>
      <c r="EO240" s="99"/>
      <c r="EP240" s="99"/>
      <c r="EQ240" s="99"/>
      <c r="ER240" s="99"/>
      <c r="ES240" s="99"/>
      <c r="ET240" s="99"/>
      <c r="EU240" s="99"/>
      <c r="EV240" s="99"/>
      <c r="EW240" s="99"/>
      <c r="EX240" s="99"/>
      <c r="EY240" s="99"/>
      <c r="EZ240" s="99"/>
      <c r="FA240" s="99"/>
      <c r="FB240" s="99"/>
      <c r="FC240" s="99"/>
      <c r="FD240" s="99"/>
      <c r="FE240" s="99"/>
      <c r="FF240" s="99"/>
      <c r="FG240" s="99"/>
      <c r="FH240" s="99"/>
      <c r="FI240" s="99"/>
      <c r="FJ240" s="99"/>
      <c r="FK240" s="99"/>
      <c r="FL240" s="99"/>
      <c r="FM240" s="99"/>
      <c r="FN240" s="99"/>
      <c r="FO240" s="99"/>
      <c r="FP240" s="99"/>
      <c r="FQ240" s="99"/>
      <c r="FR240" s="99"/>
      <c r="FS240" s="99"/>
      <c r="FT240" s="99"/>
      <c r="FU240" s="99"/>
    </row>
    <row r="241" spans="10:177" s="1" customFormat="1" ht="15.75"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  <c r="CW241" s="99"/>
      <c r="CX241" s="99"/>
      <c r="CY241" s="99"/>
      <c r="CZ241" s="99"/>
      <c r="DA241" s="99"/>
      <c r="DB241" s="99"/>
      <c r="DC241" s="99"/>
      <c r="DD241" s="99"/>
      <c r="DE241" s="99"/>
      <c r="DF241" s="99"/>
      <c r="DG241" s="99"/>
      <c r="DH241" s="99"/>
      <c r="DI241" s="99"/>
      <c r="DJ241" s="99"/>
      <c r="DK241" s="99"/>
      <c r="DL241" s="99"/>
      <c r="DM241" s="99"/>
      <c r="DN241" s="99"/>
      <c r="DO241" s="99"/>
      <c r="DP241" s="99"/>
      <c r="DQ241" s="99"/>
      <c r="DR241" s="99"/>
      <c r="DS241" s="99"/>
      <c r="DT241" s="99"/>
      <c r="DU241" s="99"/>
      <c r="DV241" s="99"/>
      <c r="DW241" s="99"/>
      <c r="DX241" s="99"/>
      <c r="DY241" s="99"/>
      <c r="DZ241" s="99"/>
      <c r="EA241" s="99"/>
      <c r="EB241" s="99"/>
      <c r="EC241" s="99"/>
      <c r="ED241" s="99"/>
      <c r="EE241" s="99"/>
      <c r="EF241" s="99"/>
      <c r="EG241" s="99"/>
      <c r="EH241" s="99"/>
      <c r="EI241" s="99"/>
      <c r="EJ241" s="99"/>
      <c r="EK241" s="99"/>
      <c r="EL241" s="99"/>
      <c r="EM241" s="99"/>
      <c r="EN241" s="99"/>
      <c r="EO241" s="99"/>
      <c r="EP241" s="99"/>
      <c r="EQ241" s="99"/>
      <c r="ER241" s="99"/>
      <c r="ES241" s="99"/>
      <c r="ET241" s="99"/>
      <c r="EU241" s="99"/>
      <c r="EV241" s="99"/>
      <c r="EW241" s="99"/>
      <c r="EX241" s="99"/>
      <c r="EY241" s="99"/>
      <c r="EZ241" s="99"/>
      <c r="FA241" s="99"/>
      <c r="FB241" s="99"/>
      <c r="FC241" s="99"/>
      <c r="FD241" s="99"/>
      <c r="FE241" s="99"/>
      <c r="FF241" s="99"/>
      <c r="FG241" s="99"/>
      <c r="FH241" s="99"/>
      <c r="FI241" s="99"/>
      <c r="FJ241" s="99"/>
      <c r="FK241" s="99"/>
      <c r="FL241" s="99"/>
      <c r="FM241" s="99"/>
      <c r="FN241" s="99"/>
      <c r="FO241" s="99"/>
      <c r="FP241" s="99"/>
      <c r="FQ241" s="99"/>
      <c r="FR241" s="99"/>
      <c r="FS241" s="99"/>
      <c r="FT241" s="99"/>
      <c r="FU241" s="99"/>
    </row>
    <row r="242" spans="10:177" s="1" customFormat="1" ht="15.75"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99"/>
      <c r="DE242" s="99"/>
      <c r="DF242" s="99"/>
      <c r="DG242" s="99"/>
      <c r="DH242" s="99"/>
      <c r="DI242" s="99"/>
      <c r="DJ242" s="99"/>
      <c r="DK242" s="99"/>
      <c r="DL242" s="99"/>
      <c r="DM242" s="99"/>
      <c r="DN242" s="99"/>
      <c r="DO242" s="99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  <c r="FB242" s="99"/>
      <c r="FC242" s="99"/>
      <c r="FD242" s="99"/>
      <c r="FE242" s="99"/>
      <c r="FF242" s="99"/>
      <c r="FG242" s="99"/>
      <c r="FH242" s="99"/>
      <c r="FI242" s="99"/>
      <c r="FJ242" s="99"/>
      <c r="FK242" s="99"/>
      <c r="FL242" s="99"/>
      <c r="FM242" s="99"/>
      <c r="FN242" s="99"/>
      <c r="FO242" s="99"/>
      <c r="FP242" s="99"/>
      <c r="FQ242" s="99"/>
      <c r="FR242" s="99"/>
      <c r="FS242" s="99"/>
      <c r="FT242" s="99"/>
      <c r="FU242" s="99"/>
    </row>
    <row r="243" spans="10:177" s="1" customFormat="1" ht="15.75"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  <c r="DC243" s="99"/>
      <c r="DD243" s="99"/>
      <c r="DE243" s="99"/>
      <c r="DF243" s="99"/>
      <c r="DG243" s="99"/>
      <c r="DH243" s="99"/>
      <c r="DI243" s="99"/>
      <c r="DJ243" s="99"/>
      <c r="DK243" s="99"/>
      <c r="DL243" s="99"/>
      <c r="DM243" s="99"/>
      <c r="DN243" s="99"/>
      <c r="DO243" s="99"/>
      <c r="DP243" s="99"/>
      <c r="DQ243" s="99"/>
      <c r="DR243" s="99"/>
      <c r="DS243" s="99"/>
      <c r="DT243" s="99"/>
      <c r="DU243" s="99"/>
      <c r="DV243" s="99"/>
      <c r="DW243" s="99"/>
      <c r="DX243" s="99"/>
      <c r="DY243" s="99"/>
      <c r="DZ243" s="99"/>
      <c r="EA243" s="99"/>
      <c r="EB243" s="99"/>
      <c r="EC243" s="99"/>
      <c r="ED243" s="99"/>
      <c r="EE243" s="99"/>
      <c r="EF243" s="99"/>
      <c r="EG243" s="99"/>
      <c r="EH243" s="99"/>
      <c r="EI243" s="99"/>
      <c r="EJ243" s="99"/>
      <c r="EK243" s="99"/>
      <c r="EL243" s="99"/>
      <c r="EM243" s="99"/>
      <c r="EN243" s="99"/>
      <c r="EO243" s="99"/>
      <c r="EP243" s="99"/>
      <c r="EQ243" s="99"/>
      <c r="ER243" s="99"/>
      <c r="ES243" s="99"/>
      <c r="ET243" s="99"/>
      <c r="EU243" s="99"/>
      <c r="EV243" s="99"/>
      <c r="EW243" s="99"/>
      <c r="EX243" s="99"/>
      <c r="EY243" s="99"/>
      <c r="EZ243" s="99"/>
      <c r="FA243" s="99"/>
      <c r="FB243" s="99"/>
      <c r="FC243" s="99"/>
      <c r="FD243" s="99"/>
      <c r="FE243" s="99"/>
      <c r="FF243" s="99"/>
      <c r="FG243" s="99"/>
      <c r="FH243" s="99"/>
      <c r="FI243" s="99"/>
      <c r="FJ243" s="99"/>
      <c r="FK243" s="99"/>
      <c r="FL243" s="99"/>
      <c r="FM243" s="99"/>
      <c r="FN243" s="99"/>
      <c r="FO243" s="99"/>
      <c r="FP243" s="99"/>
      <c r="FQ243" s="99"/>
      <c r="FR243" s="99"/>
      <c r="FS243" s="99"/>
      <c r="FT243" s="99"/>
      <c r="FU243" s="99"/>
    </row>
    <row r="244" spans="10:177" s="1" customFormat="1" ht="15.75"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  <c r="DC244" s="99"/>
      <c r="DD244" s="99"/>
      <c r="DE244" s="99"/>
      <c r="DF244" s="99"/>
      <c r="DG244" s="99"/>
      <c r="DH244" s="99"/>
      <c r="DI244" s="99"/>
      <c r="DJ244" s="99"/>
      <c r="DK244" s="99"/>
      <c r="DL244" s="99"/>
      <c r="DM244" s="99"/>
      <c r="DN244" s="99"/>
      <c r="DO244" s="99"/>
      <c r="DP244" s="99"/>
      <c r="DQ244" s="99"/>
      <c r="DR244" s="99"/>
      <c r="DS244" s="99"/>
      <c r="DT244" s="99"/>
      <c r="DU244" s="99"/>
      <c r="DV244" s="99"/>
      <c r="DW244" s="99"/>
      <c r="DX244" s="99"/>
      <c r="DY244" s="99"/>
      <c r="DZ244" s="99"/>
      <c r="EA244" s="99"/>
      <c r="EB244" s="99"/>
      <c r="EC244" s="99"/>
      <c r="ED244" s="99"/>
      <c r="EE244" s="99"/>
      <c r="EF244" s="99"/>
      <c r="EG244" s="99"/>
      <c r="EH244" s="99"/>
      <c r="EI244" s="99"/>
      <c r="EJ244" s="99"/>
      <c r="EK244" s="99"/>
      <c r="EL244" s="99"/>
      <c r="EM244" s="99"/>
      <c r="EN244" s="99"/>
      <c r="EO244" s="99"/>
      <c r="EP244" s="99"/>
      <c r="EQ244" s="99"/>
      <c r="ER244" s="99"/>
      <c r="ES244" s="99"/>
      <c r="ET244" s="99"/>
      <c r="EU244" s="99"/>
      <c r="EV244" s="99"/>
      <c r="EW244" s="99"/>
      <c r="EX244" s="99"/>
      <c r="EY244" s="99"/>
      <c r="EZ244" s="99"/>
      <c r="FA244" s="99"/>
      <c r="FB244" s="99"/>
      <c r="FC244" s="99"/>
      <c r="FD244" s="99"/>
      <c r="FE244" s="99"/>
      <c r="FF244" s="99"/>
      <c r="FG244" s="99"/>
      <c r="FH244" s="99"/>
      <c r="FI244" s="99"/>
      <c r="FJ244" s="99"/>
      <c r="FK244" s="99"/>
      <c r="FL244" s="99"/>
      <c r="FM244" s="99"/>
      <c r="FN244" s="99"/>
      <c r="FO244" s="99"/>
      <c r="FP244" s="99"/>
      <c r="FQ244" s="99"/>
      <c r="FR244" s="99"/>
      <c r="FS244" s="99"/>
      <c r="FT244" s="99"/>
      <c r="FU244" s="99"/>
    </row>
    <row r="245" spans="10:177" s="1" customFormat="1" ht="15.75"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99"/>
      <c r="DD245" s="99"/>
      <c r="DE245" s="99"/>
      <c r="DF245" s="99"/>
      <c r="DG245" s="99"/>
      <c r="DH245" s="99"/>
      <c r="DI245" s="99"/>
      <c r="DJ245" s="99"/>
      <c r="DK245" s="99"/>
      <c r="DL245" s="99"/>
      <c r="DM245" s="99"/>
      <c r="DN245" s="99"/>
      <c r="DO245" s="99"/>
      <c r="DP245" s="99"/>
      <c r="DQ245" s="99"/>
      <c r="DR245" s="99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/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/>
      <c r="EY245" s="99"/>
      <c r="EZ245" s="99"/>
      <c r="FA245" s="99"/>
      <c r="FB245" s="99"/>
      <c r="FC245" s="99"/>
      <c r="FD245" s="99"/>
      <c r="FE245" s="99"/>
      <c r="FF245" s="99"/>
      <c r="FG245" s="99"/>
      <c r="FH245" s="99"/>
      <c r="FI245" s="99"/>
      <c r="FJ245" s="99"/>
      <c r="FK245" s="99"/>
      <c r="FL245" s="99"/>
      <c r="FM245" s="99"/>
      <c r="FN245" s="99"/>
      <c r="FO245" s="99"/>
      <c r="FP245" s="99"/>
      <c r="FQ245" s="99"/>
      <c r="FR245" s="99"/>
      <c r="FS245" s="99"/>
      <c r="FT245" s="99"/>
      <c r="FU245" s="99"/>
    </row>
    <row r="246" spans="10:177" s="1" customFormat="1" ht="15.75"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  <c r="DA246" s="99"/>
      <c r="DB246" s="99"/>
      <c r="DC246" s="99"/>
      <c r="DD246" s="99"/>
      <c r="DE246" s="99"/>
      <c r="DF246" s="99"/>
      <c r="DG246" s="99"/>
      <c r="DH246" s="99"/>
      <c r="DI246" s="99"/>
      <c r="DJ246" s="99"/>
      <c r="DK246" s="99"/>
      <c r="DL246" s="99"/>
      <c r="DM246" s="99"/>
      <c r="DN246" s="99"/>
      <c r="DO246" s="99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  <c r="FB246" s="99"/>
      <c r="FC246" s="99"/>
      <c r="FD246" s="99"/>
      <c r="FE246" s="99"/>
      <c r="FF246" s="99"/>
      <c r="FG246" s="99"/>
      <c r="FH246" s="99"/>
      <c r="FI246" s="99"/>
      <c r="FJ246" s="99"/>
      <c r="FK246" s="99"/>
      <c r="FL246" s="99"/>
      <c r="FM246" s="99"/>
      <c r="FN246" s="99"/>
      <c r="FO246" s="99"/>
      <c r="FP246" s="99"/>
      <c r="FQ246" s="99"/>
      <c r="FR246" s="99"/>
      <c r="FS246" s="99"/>
      <c r="FT246" s="99"/>
      <c r="FU246" s="99"/>
    </row>
    <row r="247" spans="10:177" s="1" customFormat="1" ht="15.75"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  <c r="DA247" s="99"/>
      <c r="DB247" s="99"/>
      <c r="DC247" s="99"/>
      <c r="DD247" s="99"/>
      <c r="DE247" s="99"/>
      <c r="DF247" s="99"/>
      <c r="DG247" s="99"/>
      <c r="DH247" s="99"/>
      <c r="DI247" s="99"/>
      <c r="DJ247" s="99"/>
      <c r="DK247" s="99"/>
      <c r="DL247" s="99"/>
      <c r="DM247" s="99"/>
      <c r="DN247" s="99"/>
      <c r="DO247" s="99"/>
      <c r="DP247" s="99"/>
      <c r="DQ247" s="99"/>
      <c r="DR247" s="99"/>
      <c r="DS247" s="99"/>
      <c r="DT247" s="99"/>
      <c r="DU247" s="99"/>
      <c r="DV247" s="99"/>
      <c r="DW247" s="99"/>
      <c r="DX247" s="99"/>
      <c r="DY247" s="99"/>
      <c r="DZ247" s="99"/>
      <c r="EA247" s="99"/>
      <c r="EB247" s="99"/>
      <c r="EC247" s="99"/>
      <c r="ED247" s="99"/>
      <c r="EE247" s="99"/>
      <c r="EF247" s="99"/>
      <c r="EG247" s="99"/>
      <c r="EH247" s="99"/>
      <c r="EI247" s="99"/>
      <c r="EJ247" s="99"/>
      <c r="EK247" s="99"/>
      <c r="EL247" s="99"/>
      <c r="EM247" s="99"/>
      <c r="EN247" s="99"/>
      <c r="EO247" s="99"/>
      <c r="EP247" s="99"/>
      <c r="EQ247" s="99"/>
      <c r="ER247" s="99"/>
      <c r="ES247" s="99"/>
      <c r="ET247" s="99"/>
      <c r="EU247" s="99"/>
      <c r="EV247" s="99"/>
      <c r="EW247" s="99"/>
      <c r="EX247" s="99"/>
      <c r="EY247" s="99"/>
      <c r="EZ247" s="99"/>
      <c r="FA247" s="99"/>
      <c r="FB247" s="99"/>
      <c r="FC247" s="99"/>
      <c r="FD247" s="99"/>
      <c r="FE247" s="99"/>
      <c r="FF247" s="99"/>
      <c r="FG247" s="99"/>
      <c r="FH247" s="99"/>
      <c r="FI247" s="99"/>
      <c r="FJ247" s="99"/>
      <c r="FK247" s="99"/>
      <c r="FL247" s="99"/>
      <c r="FM247" s="99"/>
      <c r="FN247" s="99"/>
      <c r="FO247" s="99"/>
      <c r="FP247" s="99"/>
      <c r="FQ247" s="99"/>
      <c r="FR247" s="99"/>
      <c r="FS247" s="99"/>
      <c r="FT247" s="99"/>
      <c r="FU247" s="99"/>
    </row>
    <row r="248" spans="10:177" s="1" customFormat="1" ht="15.75"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  <c r="CW248" s="99"/>
      <c r="CX248" s="99"/>
      <c r="CY248" s="99"/>
      <c r="CZ248" s="99"/>
      <c r="DA248" s="99"/>
      <c r="DB248" s="99"/>
      <c r="DC248" s="99"/>
      <c r="DD248" s="99"/>
      <c r="DE248" s="99"/>
      <c r="DF248" s="99"/>
      <c r="DG248" s="99"/>
      <c r="DH248" s="99"/>
      <c r="DI248" s="99"/>
      <c r="DJ248" s="99"/>
      <c r="DK248" s="99"/>
      <c r="DL248" s="99"/>
      <c r="DM248" s="99"/>
      <c r="DN248" s="99"/>
      <c r="DO248" s="99"/>
      <c r="DP248" s="99"/>
      <c r="DQ248" s="99"/>
      <c r="DR248" s="99"/>
      <c r="DS248" s="99"/>
      <c r="DT248" s="99"/>
      <c r="DU248" s="99"/>
      <c r="DV248" s="99"/>
      <c r="DW248" s="99"/>
      <c r="DX248" s="99"/>
      <c r="DY248" s="99"/>
      <c r="DZ248" s="99"/>
      <c r="EA248" s="99"/>
      <c r="EB248" s="99"/>
      <c r="EC248" s="99"/>
      <c r="ED248" s="99"/>
      <c r="EE248" s="99"/>
      <c r="EF248" s="99"/>
      <c r="EG248" s="99"/>
      <c r="EH248" s="99"/>
      <c r="EI248" s="99"/>
      <c r="EJ248" s="99"/>
      <c r="EK248" s="99"/>
      <c r="EL248" s="99"/>
      <c r="EM248" s="99"/>
      <c r="EN248" s="99"/>
      <c r="EO248" s="99"/>
      <c r="EP248" s="99"/>
      <c r="EQ248" s="99"/>
      <c r="ER248" s="99"/>
      <c r="ES248" s="99"/>
      <c r="ET248" s="99"/>
      <c r="EU248" s="99"/>
      <c r="EV248" s="99"/>
      <c r="EW248" s="99"/>
      <c r="EX248" s="99"/>
      <c r="EY248" s="99"/>
      <c r="EZ248" s="99"/>
      <c r="FA248" s="99"/>
      <c r="FB248" s="99"/>
      <c r="FC248" s="99"/>
      <c r="FD248" s="99"/>
      <c r="FE248" s="99"/>
      <c r="FF248" s="99"/>
      <c r="FG248" s="99"/>
      <c r="FH248" s="99"/>
      <c r="FI248" s="99"/>
      <c r="FJ248" s="99"/>
      <c r="FK248" s="99"/>
      <c r="FL248" s="99"/>
      <c r="FM248" s="99"/>
      <c r="FN248" s="99"/>
      <c r="FO248" s="99"/>
      <c r="FP248" s="99"/>
      <c r="FQ248" s="99"/>
      <c r="FR248" s="99"/>
      <c r="FS248" s="99"/>
      <c r="FT248" s="99"/>
      <c r="FU248" s="99"/>
    </row>
    <row r="249" spans="10:177" s="1" customFormat="1" ht="15.75"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  <c r="CZ249" s="99"/>
      <c r="DA249" s="99"/>
      <c r="DB249" s="99"/>
      <c r="DC249" s="99"/>
      <c r="DD249" s="99"/>
      <c r="DE249" s="99"/>
      <c r="DF249" s="99"/>
      <c r="DG249" s="99"/>
      <c r="DH249" s="99"/>
      <c r="DI249" s="99"/>
      <c r="DJ249" s="99"/>
      <c r="DK249" s="99"/>
      <c r="DL249" s="99"/>
      <c r="DM249" s="99"/>
      <c r="DN249" s="99"/>
      <c r="DO249" s="99"/>
      <c r="DP249" s="99"/>
      <c r="DQ249" s="99"/>
      <c r="DR249" s="99"/>
      <c r="DS249" s="99"/>
      <c r="DT249" s="99"/>
      <c r="DU249" s="99"/>
      <c r="DV249" s="99"/>
      <c r="DW249" s="99"/>
      <c r="DX249" s="99"/>
      <c r="DY249" s="99"/>
      <c r="DZ249" s="99"/>
      <c r="EA249" s="99"/>
      <c r="EB249" s="99"/>
      <c r="EC249" s="99"/>
      <c r="ED249" s="99"/>
      <c r="EE249" s="99"/>
      <c r="EF249" s="99"/>
      <c r="EG249" s="99"/>
      <c r="EH249" s="99"/>
      <c r="EI249" s="99"/>
      <c r="EJ249" s="99"/>
      <c r="EK249" s="99"/>
      <c r="EL249" s="99"/>
      <c r="EM249" s="99"/>
      <c r="EN249" s="99"/>
      <c r="EO249" s="99"/>
      <c r="EP249" s="99"/>
      <c r="EQ249" s="99"/>
      <c r="ER249" s="99"/>
      <c r="ES249" s="99"/>
      <c r="ET249" s="99"/>
      <c r="EU249" s="99"/>
      <c r="EV249" s="99"/>
      <c r="EW249" s="99"/>
      <c r="EX249" s="99"/>
      <c r="EY249" s="99"/>
      <c r="EZ249" s="99"/>
      <c r="FA249" s="99"/>
      <c r="FB249" s="99"/>
      <c r="FC249" s="99"/>
      <c r="FD249" s="99"/>
      <c r="FE249" s="99"/>
      <c r="FF249" s="99"/>
      <c r="FG249" s="99"/>
      <c r="FH249" s="99"/>
      <c r="FI249" s="99"/>
      <c r="FJ249" s="99"/>
      <c r="FK249" s="99"/>
      <c r="FL249" s="99"/>
      <c r="FM249" s="99"/>
      <c r="FN249" s="99"/>
      <c r="FO249" s="99"/>
      <c r="FP249" s="99"/>
      <c r="FQ249" s="99"/>
      <c r="FR249" s="99"/>
      <c r="FS249" s="99"/>
      <c r="FT249" s="99"/>
      <c r="FU249" s="99"/>
    </row>
    <row r="250" spans="10:177" s="1" customFormat="1" ht="15.75"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  <c r="CW250" s="99"/>
      <c r="CX250" s="99"/>
      <c r="CY250" s="99"/>
      <c r="CZ250" s="99"/>
      <c r="DA250" s="99"/>
      <c r="DB250" s="99"/>
      <c r="DC250" s="99"/>
      <c r="DD250" s="99"/>
      <c r="DE250" s="99"/>
      <c r="DF250" s="99"/>
      <c r="DG250" s="99"/>
      <c r="DH250" s="99"/>
      <c r="DI250" s="99"/>
      <c r="DJ250" s="99"/>
      <c r="DK250" s="99"/>
      <c r="DL250" s="99"/>
      <c r="DM250" s="99"/>
      <c r="DN250" s="99"/>
      <c r="DO250" s="99"/>
      <c r="DP250" s="99"/>
      <c r="DQ250" s="99"/>
      <c r="DR250" s="99"/>
      <c r="DS250" s="99"/>
      <c r="DT250" s="99"/>
      <c r="DU250" s="99"/>
      <c r="DV250" s="99"/>
      <c r="DW250" s="99"/>
      <c r="DX250" s="99"/>
      <c r="DY250" s="99"/>
      <c r="DZ250" s="99"/>
      <c r="EA250" s="99"/>
      <c r="EB250" s="99"/>
      <c r="EC250" s="99"/>
      <c r="ED250" s="99"/>
      <c r="EE250" s="99"/>
      <c r="EF250" s="99"/>
      <c r="EG250" s="99"/>
      <c r="EH250" s="99"/>
      <c r="EI250" s="99"/>
      <c r="EJ250" s="99"/>
      <c r="EK250" s="99"/>
      <c r="EL250" s="99"/>
      <c r="EM250" s="99"/>
      <c r="EN250" s="99"/>
      <c r="EO250" s="99"/>
      <c r="EP250" s="99"/>
      <c r="EQ250" s="99"/>
      <c r="ER250" s="99"/>
      <c r="ES250" s="99"/>
      <c r="ET250" s="99"/>
      <c r="EU250" s="99"/>
      <c r="EV250" s="99"/>
      <c r="EW250" s="99"/>
      <c r="EX250" s="99"/>
      <c r="EY250" s="99"/>
      <c r="EZ250" s="99"/>
      <c r="FA250" s="99"/>
      <c r="FB250" s="99"/>
      <c r="FC250" s="99"/>
      <c r="FD250" s="99"/>
      <c r="FE250" s="99"/>
      <c r="FF250" s="99"/>
      <c r="FG250" s="99"/>
      <c r="FH250" s="99"/>
      <c r="FI250" s="99"/>
      <c r="FJ250" s="99"/>
      <c r="FK250" s="99"/>
      <c r="FL250" s="99"/>
      <c r="FM250" s="99"/>
      <c r="FN250" s="99"/>
      <c r="FO250" s="99"/>
      <c r="FP250" s="99"/>
      <c r="FQ250" s="99"/>
      <c r="FR250" s="99"/>
      <c r="FS250" s="99"/>
      <c r="FT250" s="99"/>
      <c r="FU250" s="99"/>
    </row>
    <row r="251" spans="10:177" s="1" customFormat="1" ht="15.75"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  <c r="CZ251" s="99"/>
      <c r="DA251" s="99"/>
      <c r="DB251" s="99"/>
      <c r="DC251" s="99"/>
      <c r="DD251" s="99"/>
      <c r="DE251" s="99"/>
      <c r="DF251" s="99"/>
      <c r="DG251" s="99"/>
      <c r="DH251" s="99"/>
      <c r="DI251" s="99"/>
      <c r="DJ251" s="99"/>
      <c r="DK251" s="99"/>
      <c r="DL251" s="99"/>
      <c r="DM251" s="99"/>
      <c r="DN251" s="99"/>
      <c r="DO251" s="99"/>
      <c r="DP251" s="99"/>
      <c r="DQ251" s="99"/>
      <c r="DR251" s="99"/>
      <c r="DS251" s="99"/>
      <c r="DT251" s="99"/>
      <c r="DU251" s="99"/>
      <c r="DV251" s="99"/>
      <c r="DW251" s="99"/>
      <c r="DX251" s="99"/>
      <c r="DY251" s="99"/>
      <c r="DZ251" s="99"/>
      <c r="EA251" s="99"/>
      <c r="EB251" s="99"/>
      <c r="EC251" s="99"/>
      <c r="ED251" s="99"/>
      <c r="EE251" s="99"/>
      <c r="EF251" s="99"/>
      <c r="EG251" s="99"/>
      <c r="EH251" s="99"/>
      <c r="EI251" s="99"/>
      <c r="EJ251" s="99"/>
      <c r="EK251" s="99"/>
      <c r="EL251" s="99"/>
      <c r="EM251" s="99"/>
      <c r="EN251" s="99"/>
      <c r="EO251" s="99"/>
      <c r="EP251" s="99"/>
      <c r="EQ251" s="99"/>
      <c r="ER251" s="99"/>
      <c r="ES251" s="99"/>
      <c r="ET251" s="99"/>
      <c r="EU251" s="99"/>
      <c r="EV251" s="99"/>
      <c r="EW251" s="99"/>
      <c r="EX251" s="99"/>
      <c r="EY251" s="99"/>
      <c r="EZ251" s="99"/>
      <c r="FA251" s="99"/>
      <c r="FB251" s="99"/>
      <c r="FC251" s="99"/>
      <c r="FD251" s="99"/>
      <c r="FE251" s="99"/>
      <c r="FF251" s="99"/>
      <c r="FG251" s="99"/>
      <c r="FH251" s="99"/>
      <c r="FI251" s="99"/>
      <c r="FJ251" s="99"/>
      <c r="FK251" s="99"/>
      <c r="FL251" s="99"/>
      <c r="FM251" s="99"/>
      <c r="FN251" s="99"/>
      <c r="FO251" s="99"/>
      <c r="FP251" s="99"/>
      <c r="FQ251" s="99"/>
      <c r="FR251" s="99"/>
      <c r="FS251" s="99"/>
      <c r="FT251" s="99"/>
      <c r="FU251" s="99"/>
    </row>
    <row r="252" spans="10:177" s="1" customFormat="1" ht="15.75"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  <c r="CW252" s="99"/>
      <c r="CX252" s="99"/>
      <c r="CY252" s="99"/>
      <c r="CZ252" s="99"/>
      <c r="DA252" s="99"/>
      <c r="DB252" s="99"/>
      <c r="DC252" s="99"/>
      <c r="DD252" s="99"/>
      <c r="DE252" s="99"/>
      <c r="DF252" s="99"/>
      <c r="DG252" s="99"/>
      <c r="DH252" s="99"/>
      <c r="DI252" s="99"/>
      <c r="DJ252" s="99"/>
      <c r="DK252" s="99"/>
      <c r="DL252" s="99"/>
      <c r="DM252" s="99"/>
      <c r="DN252" s="99"/>
      <c r="DO252" s="99"/>
      <c r="DP252" s="99"/>
      <c r="DQ252" s="99"/>
      <c r="DR252" s="99"/>
      <c r="DS252" s="99"/>
      <c r="DT252" s="99"/>
      <c r="DU252" s="99"/>
      <c r="DV252" s="99"/>
      <c r="DW252" s="99"/>
      <c r="DX252" s="99"/>
      <c r="DY252" s="99"/>
      <c r="DZ252" s="99"/>
      <c r="EA252" s="99"/>
      <c r="EB252" s="99"/>
      <c r="EC252" s="99"/>
      <c r="ED252" s="99"/>
      <c r="EE252" s="99"/>
      <c r="EF252" s="99"/>
      <c r="EG252" s="99"/>
      <c r="EH252" s="99"/>
      <c r="EI252" s="99"/>
      <c r="EJ252" s="99"/>
      <c r="EK252" s="99"/>
      <c r="EL252" s="99"/>
      <c r="EM252" s="99"/>
      <c r="EN252" s="99"/>
      <c r="EO252" s="99"/>
      <c r="EP252" s="99"/>
      <c r="EQ252" s="99"/>
      <c r="ER252" s="99"/>
      <c r="ES252" s="99"/>
      <c r="ET252" s="99"/>
      <c r="EU252" s="99"/>
      <c r="EV252" s="99"/>
      <c r="EW252" s="99"/>
      <c r="EX252" s="99"/>
      <c r="EY252" s="99"/>
      <c r="EZ252" s="99"/>
      <c r="FA252" s="99"/>
      <c r="FB252" s="99"/>
      <c r="FC252" s="99"/>
      <c r="FD252" s="99"/>
      <c r="FE252" s="99"/>
      <c r="FF252" s="99"/>
      <c r="FG252" s="99"/>
      <c r="FH252" s="99"/>
      <c r="FI252" s="99"/>
      <c r="FJ252" s="99"/>
      <c r="FK252" s="99"/>
      <c r="FL252" s="99"/>
      <c r="FM252" s="99"/>
      <c r="FN252" s="99"/>
      <c r="FO252" s="99"/>
      <c r="FP252" s="99"/>
      <c r="FQ252" s="99"/>
      <c r="FR252" s="99"/>
      <c r="FS252" s="99"/>
      <c r="FT252" s="99"/>
      <c r="FU252" s="99"/>
    </row>
    <row r="253" spans="10:177" s="1" customFormat="1" ht="15.75"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  <c r="DA253" s="99"/>
      <c r="DB253" s="99"/>
      <c r="DC253" s="99"/>
      <c r="DD253" s="99"/>
      <c r="DE253" s="99"/>
      <c r="DF253" s="99"/>
      <c r="DG253" s="99"/>
      <c r="DH253" s="99"/>
      <c r="DI253" s="99"/>
      <c r="DJ253" s="99"/>
      <c r="DK253" s="99"/>
      <c r="DL253" s="99"/>
      <c r="DM253" s="99"/>
      <c r="DN253" s="99"/>
      <c r="DO253" s="99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  <c r="FB253" s="99"/>
      <c r="FC253" s="99"/>
      <c r="FD253" s="99"/>
      <c r="FE253" s="99"/>
      <c r="FF253" s="99"/>
      <c r="FG253" s="99"/>
      <c r="FH253" s="99"/>
      <c r="FI253" s="99"/>
      <c r="FJ253" s="99"/>
      <c r="FK253" s="99"/>
      <c r="FL253" s="99"/>
      <c r="FM253" s="99"/>
      <c r="FN253" s="99"/>
      <c r="FO253" s="99"/>
      <c r="FP253" s="99"/>
      <c r="FQ253" s="99"/>
      <c r="FR253" s="99"/>
      <c r="FS253" s="99"/>
      <c r="FT253" s="99"/>
      <c r="FU253" s="99"/>
    </row>
    <row r="254" spans="10:177" s="1" customFormat="1" ht="15.75"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99"/>
      <c r="DD254" s="99"/>
      <c r="DE254" s="99"/>
      <c r="DF254" s="99"/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  <c r="FB254" s="99"/>
      <c r="FC254" s="99"/>
      <c r="FD254" s="99"/>
      <c r="FE254" s="99"/>
      <c r="FF254" s="99"/>
      <c r="FG254" s="99"/>
      <c r="FH254" s="99"/>
      <c r="FI254" s="99"/>
      <c r="FJ254" s="99"/>
      <c r="FK254" s="99"/>
      <c r="FL254" s="99"/>
      <c r="FM254" s="99"/>
      <c r="FN254" s="99"/>
      <c r="FO254" s="99"/>
      <c r="FP254" s="99"/>
      <c r="FQ254" s="99"/>
      <c r="FR254" s="99"/>
      <c r="FS254" s="99"/>
      <c r="FT254" s="99"/>
      <c r="FU254" s="99"/>
    </row>
    <row r="255" spans="10:177" s="1" customFormat="1" ht="15.75"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  <c r="CZ255" s="99"/>
      <c r="DA255" s="99"/>
      <c r="DB255" s="99"/>
      <c r="DC255" s="99"/>
      <c r="DD255" s="99"/>
      <c r="DE255" s="99"/>
      <c r="DF255" s="99"/>
      <c r="DG255" s="99"/>
      <c r="DH255" s="99"/>
      <c r="DI255" s="99"/>
      <c r="DJ255" s="99"/>
      <c r="DK255" s="99"/>
      <c r="DL255" s="99"/>
      <c r="DM255" s="99"/>
      <c r="DN255" s="99"/>
      <c r="DO255" s="99"/>
      <c r="DP255" s="99"/>
      <c r="DQ255" s="99"/>
      <c r="DR255" s="99"/>
      <c r="DS255" s="99"/>
      <c r="DT255" s="99"/>
      <c r="DU255" s="99"/>
      <c r="DV255" s="99"/>
      <c r="DW255" s="99"/>
      <c r="DX255" s="99"/>
      <c r="DY255" s="99"/>
      <c r="DZ255" s="99"/>
      <c r="EA255" s="99"/>
      <c r="EB255" s="99"/>
      <c r="EC255" s="99"/>
      <c r="ED255" s="99"/>
      <c r="EE255" s="99"/>
      <c r="EF255" s="99"/>
      <c r="EG255" s="99"/>
      <c r="EH255" s="99"/>
      <c r="EI255" s="99"/>
      <c r="EJ255" s="99"/>
      <c r="EK255" s="99"/>
      <c r="EL255" s="99"/>
      <c r="EM255" s="99"/>
      <c r="EN255" s="99"/>
      <c r="EO255" s="99"/>
      <c r="EP255" s="99"/>
      <c r="EQ255" s="99"/>
      <c r="ER255" s="99"/>
      <c r="ES255" s="99"/>
      <c r="ET255" s="99"/>
      <c r="EU255" s="99"/>
      <c r="EV255" s="99"/>
      <c r="EW255" s="99"/>
      <c r="EX255" s="99"/>
      <c r="EY255" s="99"/>
      <c r="EZ255" s="99"/>
      <c r="FA255" s="99"/>
      <c r="FB255" s="99"/>
      <c r="FC255" s="99"/>
      <c r="FD255" s="99"/>
      <c r="FE255" s="99"/>
      <c r="FF255" s="99"/>
      <c r="FG255" s="99"/>
      <c r="FH255" s="99"/>
      <c r="FI255" s="99"/>
      <c r="FJ255" s="99"/>
      <c r="FK255" s="99"/>
      <c r="FL255" s="99"/>
      <c r="FM255" s="99"/>
      <c r="FN255" s="99"/>
      <c r="FO255" s="99"/>
      <c r="FP255" s="99"/>
      <c r="FQ255" s="99"/>
      <c r="FR255" s="99"/>
      <c r="FS255" s="99"/>
      <c r="FT255" s="99"/>
      <c r="FU255" s="99"/>
    </row>
    <row r="256" spans="10:177" s="1" customFormat="1" ht="15.75"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  <c r="CZ256" s="99"/>
      <c r="DA256" s="99"/>
      <c r="DB256" s="99"/>
      <c r="DC256" s="99"/>
      <c r="DD256" s="99"/>
      <c r="DE256" s="99"/>
      <c r="DF256" s="99"/>
      <c r="DG256" s="99"/>
      <c r="DH256" s="99"/>
      <c r="DI256" s="99"/>
      <c r="DJ256" s="99"/>
      <c r="DK256" s="99"/>
      <c r="DL256" s="99"/>
      <c r="DM256" s="99"/>
      <c r="DN256" s="99"/>
      <c r="DO256" s="99"/>
      <c r="DP256" s="99"/>
      <c r="DQ256" s="99"/>
      <c r="DR256" s="99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99"/>
      <c r="EI256" s="99"/>
      <c r="EJ256" s="99"/>
      <c r="EK256" s="99"/>
      <c r="EL256" s="99"/>
      <c r="EM256" s="99"/>
      <c r="EN256" s="99"/>
      <c r="EO256" s="99"/>
      <c r="EP256" s="99"/>
      <c r="EQ256" s="99"/>
      <c r="ER256" s="99"/>
      <c r="ES256" s="99"/>
      <c r="ET256" s="99"/>
      <c r="EU256" s="99"/>
      <c r="EV256" s="99"/>
      <c r="EW256" s="99"/>
      <c r="EX256" s="99"/>
      <c r="EY256" s="99"/>
      <c r="EZ256" s="99"/>
      <c r="FA256" s="99"/>
      <c r="FB256" s="99"/>
      <c r="FC256" s="99"/>
      <c r="FD256" s="99"/>
      <c r="FE256" s="99"/>
      <c r="FF256" s="99"/>
      <c r="FG256" s="99"/>
      <c r="FH256" s="99"/>
      <c r="FI256" s="99"/>
      <c r="FJ256" s="99"/>
      <c r="FK256" s="99"/>
      <c r="FL256" s="99"/>
      <c r="FM256" s="99"/>
      <c r="FN256" s="99"/>
      <c r="FO256" s="99"/>
      <c r="FP256" s="99"/>
      <c r="FQ256" s="99"/>
      <c r="FR256" s="99"/>
      <c r="FS256" s="99"/>
      <c r="FT256" s="99"/>
      <c r="FU256" s="99"/>
    </row>
    <row r="257" spans="10:177" s="1" customFormat="1" ht="15.75"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  <c r="CW257" s="99"/>
      <c r="CX257" s="99"/>
      <c r="CY257" s="99"/>
      <c r="CZ257" s="99"/>
      <c r="DA257" s="99"/>
      <c r="DB257" s="99"/>
      <c r="DC257" s="99"/>
      <c r="DD257" s="99"/>
      <c r="DE257" s="99"/>
      <c r="DF257" s="99"/>
      <c r="DG257" s="99"/>
      <c r="DH257" s="99"/>
      <c r="DI257" s="99"/>
      <c r="DJ257" s="99"/>
      <c r="DK257" s="99"/>
      <c r="DL257" s="99"/>
      <c r="DM257" s="99"/>
      <c r="DN257" s="99"/>
      <c r="DO257" s="99"/>
      <c r="DP257" s="99"/>
      <c r="DQ257" s="99"/>
      <c r="DR257" s="99"/>
      <c r="DS257" s="99"/>
      <c r="DT257" s="99"/>
      <c r="DU257" s="99"/>
      <c r="DV257" s="99"/>
      <c r="DW257" s="99"/>
      <c r="DX257" s="99"/>
      <c r="DY257" s="99"/>
      <c r="DZ257" s="99"/>
      <c r="EA257" s="99"/>
      <c r="EB257" s="99"/>
      <c r="EC257" s="99"/>
      <c r="ED257" s="99"/>
      <c r="EE257" s="99"/>
      <c r="EF257" s="99"/>
      <c r="EG257" s="99"/>
      <c r="EH257" s="99"/>
      <c r="EI257" s="99"/>
      <c r="EJ257" s="99"/>
      <c r="EK257" s="99"/>
      <c r="EL257" s="99"/>
      <c r="EM257" s="99"/>
      <c r="EN257" s="99"/>
      <c r="EO257" s="99"/>
      <c r="EP257" s="99"/>
      <c r="EQ257" s="99"/>
      <c r="ER257" s="99"/>
      <c r="ES257" s="99"/>
      <c r="ET257" s="99"/>
      <c r="EU257" s="99"/>
      <c r="EV257" s="99"/>
      <c r="EW257" s="99"/>
      <c r="EX257" s="99"/>
      <c r="EY257" s="99"/>
      <c r="EZ257" s="99"/>
      <c r="FA257" s="99"/>
      <c r="FB257" s="99"/>
      <c r="FC257" s="99"/>
      <c r="FD257" s="99"/>
      <c r="FE257" s="99"/>
      <c r="FF257" s="99"/>
      <c r="FG257" s="99"/>
      <c r="FH257" s="99"/>
      <c r="FI257" s="99"/>
      <c r="FJ257" s="99"/>
      <c r="FK257" s="99"/>
      <c r="FL257" s="99"/>
      <c r="FM257" s="99"/>
      <c r="FN257" s="99"/>
      <c r="FO257" s="99"/>
      <c r="FP257" s="99"/>
      <c r="FQ257" s="99"/>
      <c r="FR257" s="99"/>
      <c r="FS257" s="99"/>
      <c r="FT257" s="99"/>
      <c r="FU257" s="99"/>
    </row>
    <row r="258" spans="10:177" s="1" customFormat="1" ht="15.75"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  <c r="DA258" s="99"/>
      <c r="DB258" s="99"/>
      <c r="DC258" s="99"/>
      <c r="DD258" s="99"/>
      <c r="DE258" s="99"/>
      <c r="DF258" s="99"/>
      <c r="DG258" s="99"/>
      <c r="DH258" s="99"/>
      <c r="DI258" s="99"/>
      <c r="DJ258" s="99"/>
      <c r="DK258" s="99"/>
      <c r="DL258" s="99"/>
      <c r="DM258" s="99"/>
      <c r="DN258" s="99"/>
      <c r="DO258" s="99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99"/>
      <c r="EP258" s="99"/>
      <c r="EQ258" s="99"/>
      <c r="ER258" s="99"/>
      <c r="ES258" s="99"/>
      <c r="ET258" s="99"/>
      <c r="EU258" s="99"/>
      <c r="EV258" s="99"/>
      <c r="EW258" s="99"/>
      <c r="EX258" s="99"/>
      <c r="EY258" s="99"/>
      <c r="EZ258" s="99"/>
      <c r="FA258" s="99"/>
      <c r="FB258" s="99"/>
      <c r="FC258" s="99"/>
      <c r="FD258" s="99"/>
      <c r="FE258" s="99"/>
      <c r="FF258" s="99"/>
      <c r="FG258" s="99"/>
      <c r="FH258" s="99"/>
      <c r="FI258" s="99"/>
      <c r="FJ258" s="99"/>
      <c r="FK258" s="99"/>
      <c r="FL258" s="99"/>
      <c r="FM258" s="99"/>
      <c r="FN258" s="99"/>
      <c r="FO258" s="99"/>
      <c r="FP258" s="99"/>
      <c r="FQ258" s="99"/>
      <c r="FR258" s="99"/>
      <c r="FS258" s="99"/>
      <c r="FT258" s="99"/>
      <c r="FU258" s="99"/>
    </row>
    <row r="259" spans="10:177" s="1" customFormat="1" ht="15.75"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99"/>
      <c r="DL259" s="99"/>
      <c r="DM259" s="99"/>
      <c r="DN259" s="99"/>
      <c r="DO259" s="99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99"/>
      <c r="EP259" s="99"/>
      <c r="EQ259" s="99"/>
      <c r="ER259" s="99"/>
      <c r="ES259" s="99"/>
      <c r="ET259" s="99"/>
      <c r="EU259" s="99"/>
      <c r="EV259" s="99"/>
      <c r="EW259" s="99"/>
      <c r="EX259" s="99"/>
      <c r="EY259" s="99"/>
      <c r="EZ259" s="99"/>
      <c r="FA259" s="99"/>
      <c r="FB259" s="99"/>
      <c r="FC259" s="99"/>
      <c r="FD259" s="99"/>
      <c r="FE259" s="99"/>
      <c r="FF259" s="99"/>
      <c r="FG259" s="99"/>
      <c r="FH259" s="99"/>
      <c r="FI259" s="99"/>
      <c r="FJ259" s="99"/>
      <c r="FK259" s="99"/>
      <c r="FL259" s="99"/>
      <c r="FM259" s="99"/>
      <c r="FN259" s="99"/>
      <c r="FO259" s="99"/>
      <c r="FP259" s="99"/>
      <c r="FQ259" s="99"/>
      <c r="FR259" s="99"/>
      <c r="FS259" s="99"/>
      <c r="FT259" s="99"/>
      <c r="FU259" s="99"/>
    </row>
    <row r="260" spans="10:177" s="1" customFormat="1" ht="15.75"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  <c r="CZ260" s="99"/>
      <c r="DA260" s="99"/>
      <c r="DB260" s="99"/>
      <c r="DC260" s="99"/>
      <c r="DD260" s="99"/>
      <c r="DE260" s="99"/>
      <c r="DF260" s="99"/>
      <c r="DG260" s="99"/>
      <c r="DH260" s="99"/>
      <c r="DI260" s="99"/>
      <c r="DJ260" s="99"/>
      <c r="DK260" s="99"/>
      <c r="DL260" s="99"/>
      <c r="DM260" s="99"/>
      <c r="DN260" s="99"/>
      <c r="DO260" s="99"/>
      <c r="DP260" s="99"/>
      <c r="DQ260" s="99"/>
      <c r="DR260" s="99"/>
      <c r="DS260" s="99"/>
      <c r="DT260" s="99"/>
      <c r="DU260" s="99"/>
      <c r="DV260" s="99"/>
      <c r="DW260" s="99"/>
      <c r="DX260" s="99"/>
      <c r="DY260" s="99"/>
      <c r="DZ260" s="99"/>
      <c r="EA260" s="99"/>
      <c r="EB260" s="99"/>
      <c r="EC260" s="99"/>
      <c r="ED260" s="99"/>
      <c r="EE260" s="99"/>
      <c r="EF260" s="99"/>
      <c r="EG260" s="99"/>
      <c r="EH260" s="99"/>
      <c r="EI260" s="99"/>
      <c r="EJ260" s="99"/>
      <c r="EK260" s="99"/>
      <c r="EL260" s="99"/>
      <c r="EM260" s="99"/>
      <c r="EN260" s="99"/>
      <c r="EO260" s="99"/>
      <c r="EP260" s="99"/>
      <c r="EQ260" s="99"/>
      <c r="ER260" s="99"/>
      <c r="ES260" s="99"/>
      <c r="ET260" s="99"/>
      <c r="EU260" s="99"/>
      <c r="EV260" s="99"/>
      <c r="EW260" s="99"/>
      <c r="EX260" s="99"/>
      <c r="EY260" s="99"/>
      <c r="EZ260" s="99"/>
      <c r="FA260" s="99"/>
      <c r="FB260" s="99"/>
      <c r="FC260" s="99"/>
      <c r="FD260" s="99"/>
      <c r="FE260" s="99"/>
      <c r="FF260" s="99"/>
      <c r="FG260" s="99"/>
      <c r="FH260" s="99"/>
      <c r="FI260" s="99"/>
      <c r="FJ260" s="99"/>
      <c r="FK260" s="99"/>
      <c r="FL260" s="99"/>
      <c r="FM260" s="99"/>
      <c r="FN260" s="99"/>
      <c r="FO260" s="99"/>
      <c r="FP260" s="99"/>
      <c r="FQ260" s="99"/>
      <c r="FR260" s="99"/>
      <c r="FS260" s="99"/>
      <c r="FT260" s="99"/>
      <c r="FU260" s="99"/>
    </row>
    <row r="261" spans="10:177" s="1" customFormat="1" ht="15.75"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  <c r="CZ261" s="99"/>
      <c r="DA261" s="99"/>
      <c r="DB261" s="99"/>
      <c r="DC261" s="99"/>
      <c r="DD261" s="99"/>
      <c r="DE261" s="99"/>
      <c r="DF261" s="99"/>
      <c r="DG261" s="99"/>
      <c r="DH261" s="99"/>
      <c r="DI261" s="99"/>
      <c r="DJ261" s="99"/>
      <c r="DK261" s="99"/>
      <c r="DL261" s="99"/>
      <c r="DM261" s="99"/>
      <c r="DN261" s="99"/>
      <c r="DO261" s="99"/>
      <c r="DP261" s="99"/>
      <c r="DQ261" s="99"/>
      <c r="DR261" s="99"/>
      <c r="DS261" s="99"/>
      <c r="DT261" s="99"/>
      <c r="DU261" s="99"/>
      <c r="DV261" s="99"/>
      <c r="DW261" s="99"/>
      <c r="DX261" s="99"/>
      <c r="DY261" s="99"/>
      <c r="DZ261" s="99"/>
      <c r="EA261" s="99"/>
      <c r="EB261" s="99"/>
      <c r="EC261" s="99"/>
      <c r="ED261" s="99"/>
      <c r="EE261" s="99"/>
      <c r="EF261" s="99"/>
      <c r="EG261" s="99"/>
      <c r="EH261" s="99"/>
      <c r="EI261" s="99"/>
      <c r="EJ261" s="99"/>
      <c r="EK261" s="99"/>
      <c r="EL261" s="99"/>
      <c r="EM261" s="99"/>
      <c r="EN261" s="99"/>
      <c r="EO261" s="99"/>
      <c r="EP261" s="99"/>
      <c r="EQ261" s="99"/>
      <c r="ER261" s="99"/>
      <c r="ES261" s="99"/>
      <c r="ET261" s="99"/>
      <c r="EU261" s="99"/>
      <c r="EV261" s="99"/>
      <c r="EW261" s="99"/>
      <c r="EX261" s="99"/>
      <c r="EY261" s="99"/>
      <c r="EZ261" s="99"/>
      <c r="FA261" s="99"/>
      <c r="FB261" s="99"/>
      <c r="FC261" s="99"/>
      <c r="FD261" s="99"/>
      <c r="FE261" s="99"/>
      <c r="FF261" s="99"/>
      <c r="FG261" s="99"/>
      <c r="FH261" s="99"/>
      <c r="FI261" s="99"/>
      <c r="FJ261" s="99"/>
      <c r="FK261" s="99"/>
      <c r="FL261" s="99"/>
      <c r="FM261" s="99"/>
      <c r="FN261" s="99"/>
      <c r="FO261" s="99"/>
      <c r="FP261" s="99"/>
      <c r="FQ261" s="99"/>
      <c r="FR261" s="99"/>
      <c r="FS261" s="99"/>
      <c r="FT261" s="99"/>
      <c r="FU261" s="99"/>
    </row>
    <row r="262" spans="10:177" s="1" customFormat="1" ht="15.75"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  <c r="CZ262" s="99"/>
      <c r="DA262" s="99"/>
      <c r="DB262" s="99"/>
      <c r="DC262" s="99"/>
      <c r="DD262" s="99"/>
      <c r="DE262" s="99"/>
      <c r="DF262" s="99"/>
      <c r="DG262" s="99"/>
      <c r="DH262" s="99"/>
      <c r="DI262" s="99"/>
      <c r="DJ262" s="99"/>
      <c r="DK262" s="99"/>
      <c r="DL262" s="99"/>
      <c r="DM262" s="99"/>
      <c r="DN262" s="99"/>
      <c r="DO262" s="99"/>
      <c r="DP262" s="99"/>
      <c r="DQ262" s="99"/>
      <c r="DR262" s="99"/>
      <c r="DS262" s="99"/>
      <c r="DT262" s="99"/>
      <c r="DU262" s="99"/>
      <c r="DV262" s="99"/>
      <c r="DW262" s="99"/>
      <c r="DX262" s="99"/>
      <c r="DY262" s="99"/>
      <c r="DZ262" s="99"/>
      <c r="EA262" s="99"/>
      <c r="EB262" s="99"/>
      <c r="EC262" s="99"/>
      <c r="ED262" s="99"/>
      <c r="EE262" s="99"/>
      <c r="EF262" s="99"/>
      <c r="EG262" s="99"/>
      <c r="EH262" s="99"/>
      <c r="EI262" s="99"/>
      <c r="EJ262" s="99"/>
      <c r="EK262" s="99"/>
      <c r="EL262" s="99"/>
      <c r="EM262" s="99"/>
      <c r="EN262" s="99"/>
      <c r="EO262" s="99"/>
      <c r="EP262" s="99"/>
      <c r="EQ262" s="99"/>
      <c r="ER262" s="99"/>
      <c r="ES262" s="99"/>
      <c r="ET262" s="99"/>
      <c r="EU262" s="99"/>
      <c r="EV262" s="99"/>
      <c r="EW262" s="99"/>
      <c r="EX262" s="99"/>
      <c r="EY262" s="99"/>
      <c r="EZ262" s="99"/>
      <c r="FA262" s="99"/>
      <c r="FB262" s="99"/>
      <c r="FC262" s="99"/>
      <c r="FD262" s="99"/>
      <c r="FE262" s="99"/>
      <c r="FF262" s="99"/>
      <c r="FG262" s="99"/>
      <c r="FH262" s="99"/>
      <c r="FI262" s="99"/>
      <c r="FJ262" s="99"/>
      <c r="FK262" s="99"/>
      <c r="FL262" s="99"/>
      <c r="FM262" s="99"/>
      <c r="FN262" s="99"/>
      <c r="FO262" s="99"/>
      <c r="FP262" s="99"/>
      <c r="FQ262" s="99"/>
      <c r="FR262" s="99"/>
      <c r="FS262" s="99"/>
      <c r="FT262" s="99"/>
      <c r="FU262" s="99"/>
    </row>
    <row r="263" spans="10:177" s="1" customFormat="1" ht="15.75"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99"/>
      <c r="DD263" s="99"/>
      <c r="DE263" s="99"/>
      <c r="DF263" s="99"/>
      <c r="DG263" s="99"/>
      <c r="DH263" s="99"/>
      <c r="DI263" s="99"/>
      <c r="DJ263" s="99"/>
      <c r="DK263" s="99"/>
      <c r="DL263" s="99"/>
      <c r="DM263" s="99"/>
      <c r="DN263" s="99"/>
      <c r="DO263" s="99"/>
      <c r="DP263" s="99"/>
      <c r="DQ263" s="99"/>
      <c r="DR263" s="99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99"/>
      <c r="EI263" s="99"/>
      <c r="EJ263" s="99"/>
      <c r="EK263" s="99"/>
      <c r="EL263" s="99"/>
      <c r="EM263" s="99"/>
      <c r="EN263" s="99"/>
      <c r="EO263" s="99"/>
      <c r="EP263" s="99"/>
      <c r="EQ263" s="99"/>
      <c r="ER263" s="99"/>
      <c r="ES263" s="99"/>
      <c r="ET263" s="99"/>
      <c r="EU263" s="99"/>
      <c r="EV263" s="99"/>
      <c r="EW263" s="99"/>
      <c r="EX263" s="99"/>
      <c r="EY263" s="99"/>
      <c r="EZ263" s="99"/>
      <c r="FA263" s="99"/>
      <c r="FB263" s="99"/>
      <c r="FC263" s="99"/>
      <c r="FD263" s="99"/>
      <c r="FE263" s="99"/>
      <c r="FF263" s="99"/>
      <c r="FG263" s="99"/>
      <c r="FH263" s="99"/>
      <c r="FI263" s="99"/>
      <c r="FJ263" s="99"/>
      <c r="FK263" s="99"/>
      <c r="FL263" s="99"/>
      <c r="FM263" s="99"/>
      <c r="FN263" s="99"/>
      <c r="FO263" s="99"/>
      <c r="FP263" s="99"/>
      <c r="FQ263" s="99"/>
      <c r="FR263" s="99"/>
      <c r="FS263" s="99"/>
      <c r="FT263" s="99"/>
      <c r="FU263" s="99"/>
    </row>
    <row r="264" spans="10:177" s="1" customFormat="1" ht="15.75"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99"/>
      <c r="DS264" s="99"/>
      <c r="DT264" s="99"/>
      <c r="DU264" s="99"/>
      <c r="DV264" s="99"/>
      <c r="DW264" s="99"/>
      <c r="DX264" s="99"/>
      <c r="DY264" s="99"/>
      <c r="DZ264" s="99"/>
      <c r="EA264" s="99"/>
      <c r="EB264" s="99"/>
      <c r="EC264" s="99"/>
      <c r="ED264" s="99"/>
      <c r="EE264" s="99"/>
      <c r="EF264" s="99"/>
      <c r="EG264" s="99"/>
      <c r="EH264" s="99"/>
      <c r="EI264" s="99"/>
      <c r="EJ264" s="99"/>
      <c r="EK264" s="99"/>
      <c r="EL264" s="99"/>
      <c r="EM264" s="99"/>
      <c r="EN264" s="99"/>
      <c r="EO264" s="99"/>
      <c r="EP264" s="99"/>
      <c r="EQ264" s="99"/>
      <c r="ER264" s="99"/>
      <c r="ES264" s="99"/>
      <c r="ET264" s="99"/>
      <c r="EU264" s="99"/>
      <c r="EV264" s="99"/>
      <c r="EW264" s="99"/>
      <c r="EX264" s="99"/>
      <c r="EY264" s="99"/>
      <c r="EZ264" s="99"/>
      <c r="FA264" s="99"/>
      <c r="FB264" s="99"/>
      <c r="FC264" s="99"/>
      <c r="FD264" s="99"/>
      <c r="FE264" s="99"/>
      <c r="FF264" s="99"/>
      <c r="FG264" s="99"/>
      <c r="FH264" s="99"/>
      <c r="FI264" s="99"/>
      <c r="FJ264" s="99"/>
      <c r="FK264" s="99"/>
      <c r="FL264" s="99"/>
      <c r="FM264" s="99"/>
      <c r="FN264" s="99"/>
      <c r="FO264" s="99"/>
      <c r="FP264" s="99"/>
      <c r="FQ264" s="99"/>
      <c r="FR264" s="99"/>
      <c r="FS264" s="99"/>
      <c r="FT264" s="99"/>
      <c r="FU264" s="99"/>
    </row>
    <row r="265" spans="10:177" s="1" customFormat="1" ht="15.75"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99"/>
      <c r="DD265" s="99"/>
      <c r="DE265" s="99"/>
      <c r="DF265" s="99"/>
      <c r="DG265" s="99"/>
      <c r="DH265" s="99"/>
      <c r="DI265" s="99"/>
      <c r="DJ265" s="99"/>
      <c r="DK265" s="99"/>
      <c r="DL265" s="99"/>
      <c r="DM265" s="99"/>
      <c r="DN265" s="99"/>
      <c r="DO265" s="99"/>
      <c r="DP265" s="99"/>
      <c r="DQ265" s="99"/>
      <c r="DR265" s="99"/>
      <c r="DS265" s="99"/>
      <c r="DT265" s="99"/>
      <c r="DU265" s="99"/>
      <c r="DV265" s="99"/>
      <c r="DW265" s="99"/>
      <c r="DX265" s="99"/>
      <c r="DY265" s="99"/>
      <c r="DZ265" s="99"/>
      <c r="EA265" s="99"/>
      <c r="EB265" s="99"/>
      <c r="EC265" s="99"/>
      <c r="ED265" s="99"/>
      <c r="EE265" s="99"/>
      <c r="EF265" s="99"/>
      <c r="EG265" s="99"/>
      <c r="EH265" s="99"/>
      <c r="EI265" s="99"/>
      <c r="EJ265" s="99"/>
      <c r="EK265" s="99"/>
      <c r="EL265" s="99"/>
      <c r="EM265" s="99"/>
      <c r="EN265" s="99"/>
      <c r="EO265" s="99"/>
      <c r="EP265" s="99"/>
      <c r="EQ265" s="99"/>
      <c r="ER265" s="99"/>
      <c r="ES265" s="99"/>
      <c r="ET265" s="99"/>
      <c r="EU265" s="99"/>
      <c r="EV265" s="99"/>
      <c r="EW265" s="99"/>
      <c r="EX265" s="99"/>
      <c r="EY265" s="99"/>
      <c r="EZ265" s="99"/>
      <c r="FA265" s="99"/>
      <c r="FB265" s="99"/>
      <c r="FC265" s="99"/>
      <c r="FD265" s="99"/>
      <c r="FE265" s="99"/>
      <c r="FF265" s="99"/>
      <c r="FG265" s="99"/>
      <c r="FH265" s="99"/>
      <c r="FI265" s="99"/>
      <c r="FJ265" s="99"/>
      <c r="FK265" s="99"/>
      <c r="FL265" s="99"/>
      <c r="FM265" s="99"/>
      <c r="FN265" s="99"/>
      <c r="FO265" s="99"/>
      <c r="FP265" s="99"/>
      <c r="FQ265" s="99"/>
      <c r="FR265" s="99"/>
      <c r="FS265" s="99"/>
      <c r="FT265" s="99"/>
      <c r="FU265" s="99"/>
    </row>
    <row r="266" spans="10:177" s="1" customFormat="1" ht="15.75"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99"/>
      <c r="DL266" s="99"/>
      <c r="DM266" s="99"/>
      <c r="DN266" s="99"/>
      <c r="DO266" s="99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  <c r="FB266" s="99"/>
      <c r="FC266" s="99"/>
      <c r="FD266" s="99"/>
      <c r="FE266" s="99"/>
      <c r="FF266" s="99"/>
      <c r="FG266" s="99"/>
      <c r="FH266" s="99"/>
      <c r="FI266" s="99"/>
      <c r="FJ266" s="99"/>
      <c r="FK266" s="99"/>
      <c r="FL266" s="99"/>
      <c r="FM266" s="99"/>
      <c r="FN266" s="99"/>
      <c r="FO266" s="99"/>
      <c r="FP266" s="99"/>
      <c r="FQ266" s="99"/>
      <c r="FR266" s="99"/>
      <c r="FS266" s="99"/>
      <c r="FT266" s="99"/>
      <c r="FU266" s="99"/>
    </row>
    <row r="267" spans="10:177" s="1" customFormat="1" ht="15.75"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  <c r="DA267" s="99"/>
      <c r="DB267" s="99"/>
      <c r="DC267" s="99"/>
      <c r="DD267" s="99"/>
      <c r="DE267" s="99"/>
      <c r="DF267" s="99"/>
      <c r="DG267" s="99"/>
      <c r="DH267" s="99"/>
      <c r="DI267" s="99"/>
      <c r="DJ267" s="99"/>
      <c r="DK267" s="99"/>
      <c r="DL267" s="99"/>
      <c r="DM267" s="99"/>
      <c r="DN267" s="99"/>
      <c r="DO267" s="99"/>
      <c r="DP267" s="99"/>
      <c r="DQ267" s="99"/>
      <c r="DR267" s="99"/>
      <c r="DS267" s="99"/>
      <c r="DT267" s="99"/>
      <c r="DU267" s="99"/>
      <c r="DV267" s="99"/>
      <c r="DW267" s="99"/>
      <c r="DX267" s="99"/>
      <c r="DY267" s="99"/>
      <c r="DZ267" s="99"/>
      <c r="EA267" s="99"/>
      <c r="EB267" s="99"/>
      <c r="EC267" s="99"/>
      <c r="ED267" s="99"/>
      <c r="EE267" s="99"/>
      <c r="EF267" s="99"/>
      <c r="EG267" s="99"/>
      <c r="EH267" s="99"/>
      <c r="EI267" s="99"/>
      <c r="EJ267" s="99"/>
      <c r="EK267" s="99"/>
      <c r="EL267" s="99"/>
      <c r="EM267" s="99"/>
      <c r="EN267" s="99"/>
      <c r="EO267" s="99"/>
      <c r="EP267" s="99"/>
      <c r="EQ267" s="99"/>
      <c r="ER267" s="99"/>
      <c r="ES267" s="99"/>
      <c r="ET267" s="99"/>
      <c r="EU267" s="99"/>
      <c r="EV267" s="99"/>
      <c r="EW267" s="99"/>
      <c r="EX267" s="99"/>
      <c r="EY267" s="99"/>
      <c r="EZ267" s="99"/>
      <c r="FA267" s="99"/>
      <c r="FB267" s="99"/>
      <c r="FC267" s="99"/>
      <c r="FD267" s="99"/>
      <c r="FE267" s="99"/>
      <c r="FF267" s="99"/>
      <c r="FG267" s="99"/>
      <c r="FH267" s="99"/>
      <c r="FI267" s="99"/>
      <c r="FJ267" s="99"/>
      <c r="FK267" s="99"/>
      <c r="FL267" s="99"/>
      <c r="FM267" s="99"/>
      <c r="FN267" s="99"/>
      <c r="FO267" s="99"/>
      <c r="FP267" s="99"/>
      <c r="FQ267" s="99"/>
      <c r="FR267" s="99"/>
      <c r="FS267" s="99"/>
      <c r="FT267" s="99"/>
      <c r="FU267" s="99"/>
    </row>
    <row r="268" spans="10:177" s="1" customFormat="1" ht="15.75"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99"/>
      <c r="DJ268" s="99"/>
      <c r="DK268" s="99"/>
      <c r="DL268" s="99"/>
      <c r="DM268" s="99"/>
      <c r="DN268" s="99"/>
      <c r="DO268" s="99"/>
      <c r="DP268" s="99"/>
      <c r="DQ268" s="99"/>
      <c r="DR268" s="99"/>
      <c r="DS268" s="99"/>
      <c r="DT268" s="99"/>
      <c r="DU268" s="99"/>
      <c r="DV268" s="99"/>
      <c r="DW268" s="99"/>
      <c r="DX268" s="99"/>
      <c r="DY268" s="99"/>
      <c r="DZ268" s="99"/>
      <c r="EA268" s="99"/>
      <c r="EB268" s="99"/>
      <c r="EC268" s="99"/>
      <c r="ED268" s="99"/>
      <c r="EE268" s="99"/>
      <c r="EF268" s="99"/>
      <c r="EG268" s="99"/>
      <c r="EH268" s="99"/>
      <c r="EI268" s="99"/>
      <c r="EJ268" s="99"/>
      <c r="EK268" s="99"/>
      <c r="EL268" s="99"/>
      <c r="EM268" s="99"/>
      <c r="EN268" s="99"/>
      <c r="EO268" s="99"/>
      <c r="EP268" s="99"/>
      <c r="EQ268" s="99"/>
      <c r="ER268" s="99"/>
      <c r="ES268" s="99"/>
      <c r="ET268" s="99"/>
      <c r="EU268" s="99"/>
      <c r="EV268" s="99"/>
      <c r="EW268" s="99"/>
      <c r="EX268" s="99"/>
      <c r="EY268" s="99"/>
      <c r="EZ268" s="99"/>
      <c r="FA268" s="99"/>
      <c r="FB268" s="99"/>
      <c r="FC268" s="99"/>
      <c r="FD268" s="99"/>
      <c r="FE268" s="99"/>
      <c r="FF268" s="99"/>
      <c r="FG268" s="99"/>
      <c r="FH268" s="99"/>
      <c r="FI268" s="99"/>
      <c r="FJ268" s="99"/>
      <c r="FK268" s="99"/>
      <c r="FL268" s="99"/>
      <c r="FM268" s="99"/>
      <c r="FN268" s="99"/>
      <c r="FO268" s="99"/>
      <c r="FP268" s="99"/>
      <c r="FQ268" s="99"/>
      <c r="FR268" s="99"/>
      <c r="FS268" s="99"/>
      <c r="FT268" s="99"/>
      <c r="FU268" s="99"/>
    </row>
    <row r="269" spans="10:177" s="1" customFormat="1" ht="15.75"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  <c r="DA269" s="99"/>
      <c r="DB269" s="99"/>
      <c r="DC269" s="99"/>
      <c r="DD269" s="99"/>
      <c r="DE269" s="99"/>
      <c r="DF269" s="99"/>
      <c r="DG269" s="99"/>
      <c r="DH269" s="99"/>
      <c r="DI269" s="99"/>
      <c r="DJ269" s="99"/>
      <c r="DK269" s="99"/>
      <c r="DL269" s="99"/>
      <c r="DM269" s="99"/>
      <c r="DN269" s="99"/>
      <c r="DO269" s="99"/>
      <c r="DP269" s="99"/>
      <c r="DQ269" s="99"/>
      <c r="DR269" s="99"/>
      <c r="DS269" s="99"/>
      <c r="DT269" s="99"/>
      <c r="DU269" s="99"/>
      <c r="DV269" s="99"/>
      <c r="DW269" s="99"/>
      <c r="DX269" s="99"/>
      <c r="DY269" s="99"/>
      <c r="DZ269" s="99"/>
      <c r="EA269" s="99"/>
      <c r="EB269" s="99"/>
      <c r="EC269" s="99"/>
      <c r="ED269" s="99"/>
      <c r="EE269" s="99"/>
      <c r="EF269" s="99"/>
      <c r="EG269" s="99"/>
      <c r="EH269" s="99"/>
      <c r="EI269" s="99"/>
      <c r="EJ269" s="99"/>
      <c r="EK269" s="99"/>
      <c r="EL269" s="99"/>
      <c r="EM269" s="99"/>
      <c r="EN269" s="99"/>
      <c r="EO269" s="99"/>
      <c r="EP269" s="99"/>
      <c r="EQ269" s="99"/>
      <c r="ER269" s="99"/>
      <c r="ES269" s="99"/>
      <c r="ET269" s="99"/>
      <c r="EU269" s="99"/>
      <c r="EV269" s="99"/>
      <c r="EW269" s="99"/>
      <c r="EX269" s="99"/>
      <c r="EY269" s="99"/>
      <c r="EZ269" s="99"/>
      <c r="FA269" s="99"/>
      <c r="FB269" s="99"/>
      <c r="FC269" s="99"/>
      <c r="FD269" s="99"/>
      <c r="FE269" s="99"/>
      <c r="FF269" s="99"/>
      <c r="FG269" s="99"/>
      <c r="FH269" s="99"/>
      <c r="FI269" s="99"/>
      <c r="FJ269" s="99"/>
      <c r="FK269" s="99"/>
      <c r="FL269" s="99"/>
      <c r="FM269" s="99"/>
      <c r="FN269" s="99"/>
      <c r="FO269" s="99"/>
      <c r="FP269" s="99"/>
      <c r="FQ269" s="99"/>
      <c r="FR269" s="99"/>
      <c r="FS269" s="99"/>
      <c r="FT269" s="99"/>
      <c r="FU269" s="99"/>
    </row>
    <row r="270" spans="10:177" s="1" customFormat="1" ht="15.75"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99"/>
      <c r="DJ270" s="99"/>
      <c r="DK270" s="99"/>
      <c r="DL270" s="99"/>
      <c r="DM270" s="99"/>
      <c r="DN270" s="99"/>
      <c r="DO270" s="99"/>
      <c r="DP270" s="99"/>
      <c r="DQ270" s="99"/>
      <c r="DR270" s="99"/>
      <c r="DS270" s="99"/>
      <c r="DT270" s="99"/>
      <c r="DU270" s="99"/>
      <c r="DV270" s="99"/>
      <c r="DW270" s="99"/>
      <c r="DX270" s="99"/>
      <c r="DY270" s="99"/>
      <c r="DZ270" s="99"/>
      <c r="EA270" s="99"/>
      <c r="EB270" s="99"/>
      <c r="EC270" s="99"/>
      <c r="ED270" s="99"/>
      <c r="EE270" s="99"/>
      <c r="EF270" s="99"/>
      <c r="EG270" s="99"/>
      <c r="EH270" s="99"/>
      <c r="EI270" s="99"/>
      <c r="EJ270" s="99"/>
      <c r="EK270" s="99"/>
      <c r="EL270" s="99"/>
      <c r="EM270" s="99"/>
      <c r="EN270" s="99"/>
      <c r="EO270" s="99"/>
      <c r="EP270" s="99"/>
      <c r="EQ270" s="99"/>
      <c r="ER270" s="99"/>
      <c r="ES270" s="99"/>
      <c r="ET270" s="99"/>
      <c r="EU270" s="99"/>
      <c r="EV270" s="99"/>
      <c r="EW270" s="99"/>
      <c r="EX270" s="99"/>
      <c r="EY270" s="99"/>
      <c r="EZ270" s="99"/>
      <c r="FA270" s="99"/>
      <c r="FB270" s="99"/>
      <c r="FC270" s="99"/>
      <c r="FD270" s="99"/>
      <c r="FE270" s="99"/>
      <c r="FF270" s="99"/>
      <c r="FG270" s="99"/>
      <c r="FH270" s="99"/>
      <c r="FI270" s="99"/>
      <c r="FJ270" s="99"/>
      <c r="FK270" s="99"/>
      <c r="FL270" s="99"/>
      <c r="FM270" s="99"/>
      <c r="FN270" s="99"/>
      <c r="FO270" s="99"/>
      <c r="FP270" s="99"/>
      <c r="FQ270" s="99"/>
      <c r="FR270" s="99"/>
      <c r="FS270" s="99"/>
      <c r="FT270" s="99"/>
      <c r="FU270" s="99"/>
    </row>
    <row r="271" spans="10:177" s="1" customFormat="1" ht="15.75"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99"/>
      <c r="DJ271" s="99"/>
      <c r="DK271" s="99"/>
      <c r="DL271" s="99"/>
      <c r="DM271" s="99"/>
      <c r="DN271" s="99"/>
      <c r="DO271" s="99"/>
      <c r="DP271" s="99"/>
      <c r="DQ271" s="99"/>
      <c r="DR271" s="99"/>
      <c r="DS271" s="99"/>
      <c r="DT271" s="99"/>
      <c r="DU271" s="99"/>
      <c r="DV271" s="99"/>
      <c r="DW271" s="99"/>
      <c r="DX271" s="99"/>
      <c r="DY271" s="99"/>
      <c r="DZ271" s="99"/>
      <c r="EA271" s="99"/>
      <c r="EB271" s="99"/>
      <c r="EC271" s="99"/>
      <c r="ED271" s="99"/>
      <c r="EE271" s="99"/>
      <c r="EF271" s="99"/>
      <c r="EG271" s="99"/>
      <c r="EH271" s="99"/>
      <c r="EI271" s="99"/>
      <c r="EJ271" s="99"/>
      <c r="EK271" s="99"/>
      <c r="EL271" s="99"/>
      <c r="EM271" s="99"/>
      <c r="EN271" s="99"/>
      <c r="EO271" s="99"/>
      <c r="EP271" s="99"/>
      <c r="EQ271" s="99"/>
      <c r="ER271" s="99"/>
      <c r="ES271" s="99"/>
      <c r="ET271" s="99"/>
      <c r="EU271" s="99"/>
      <c r="EV271" s="99"/>
      <c r="EW271" s="99"/>
      <c r="EX271" s="99"/>
      <c r="EY271" s="99"/>
      <c r="EZ271" s="99"/>
      <c r="FA271" s="99"/>
      <c r="FB271" s="99"/>
      <c r="FC271" s="99"/>
      <c r="FD271" s="99"/>
      <c r="FE271" s="99"/>
      <c r="FF271" s="99"/>
      <c r="FG271" s="99"/>
      <c r="FH271" s="99"/>
      <c r="FI271" s="99"/>
      <c r="FJ271" s="99"/>
      <c r="FK271" s="99"/>
      <c r="FL271" s="99"/>
      <c r="FM271" s="99"/>
      <c r="FN271" s="99"/>
      <c r="FO271" s="99"/>
      <c r="FP271" s="99"/>
      <c r="FQ271" s="99"/>
      <c r="FR271" s="99"/>
      <c r="FS271" s="99"/>
      <c r="FT271" s="99"/>
      <c r="FU271" s="99"/>
    </row>
    <row r="272" spans="10:177" s="1" customFormat="1" ht="15.75"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99"/>
      <c r="DE272" s="99"/>
      <c r="DF272" s="99"/>
      <c r="DG272" s="99"/>
      <c r="DH272" s="99"/>
      <c r="DI272" s="99"/>
      <c r="DJ272" s="99"/>
      <c r="DK272" s="99"/>
      <c r="DL272" s="99"/>
      <c r="DM272" s="99"/>
      <c r="DN272" s="99"/>
      <c r="DO272" s="99"/>
      <c r="DP272" s="99"/>
      <c r="DQ272" s="99"/>
      <c r="DR272" s="99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99"/>
      <c r="EI272" s="99"/>
      <c r="EJ272" s="99"/>
      <c r="EK272" s="99"/>
      <c r="EL272" s="99"/>
      <c r="EM272" s="99"/>
      <c r="EN272" s="99"/>
      <c r="EO272" s="99"/>
      <c r="EP272" s="99"/>
      <c r="EQ272" s="99"/>
      <c r="ER272" s="99"/>
      <c r="ES272" s="99"/>
      <c r="ET272" s="99"/>
      <c r="EU272" s="99"/>
      <c r="EV272" s="99"/>
      <c r="EW272" s="99"/>
      <c r="EX272" s="99"/>
      <c r="EY272" s="99"/>
      <c r="EZ272" s="99"/>
      <c r="FA272" s="99"/>
      <c r="FB272" s="99"/>
      <c r="FC272" s="99"/>
      <c r="FD272" s="99"/>
      <c r="FE272" s="99"/>
      <c r="FF272" s="99"/>
      <c r="FG272" s="99"/>
      <c r="FH272" s="99"/>
      <c r="FI272" s="99"/>
      <c r="FJ272" s="99"/>
      <c r="FK272" s="99"/>
      <c r="FL272" s="99"/>
      <c r="FM272" s="99"/>
      <c r="FN272" s="99"/>
      <c r="FO272" s="99"/>
      <c r="FP272" s="99"/>
      <c r="FQ272" s="99"/>
      <c r="FR272" s="99"/>
      <c r="FS272" s="99"/>
      <c r="FT272" s="99"/>
      <c r="FU272" s="99"/>
    </row>
    <row r="273" spans="10:177" s="1" customFormat="1" ht="15.75"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  <c r="CW273" s="99"/>
      <c r="CX273" s="99"/>
      <c r="CY273" s="99"/>
      <c r="CZ273" s="99"/>
      <c r="DA273" s="99"/>
      <c r="DB273" s="99"/>
      <c r="DC273" s="99"/>
      <c r="DD273" s="99"/>
      <c r="DE273" s="99"/>
      <c r="DF273" s="99"/>
      <c r="DG273" s="99"/>
      <c r="DH273" s="99"/>
      <c r="DI273" s="99"/>
      <c r="DJ273" s="99"/>
      <c r="DK273" s="99"/>
      <c r="DL273" s="99"/>
      <c r="DM273" s="99"/>
      <c r="DN273" s="99"/>
      <c r="DO273" s="99"/>
      <c r="DP273" s="99"/>
      <c r="DQ273" s="99"/>
      <c r="DR273" s="99"/>
      <c r="DS273" s="99"/>
      <c r="DT273" s="99"/>
      <c r="DU273" s="99"/>
      <c r="DV273" s="99"/>
      <c r="DW273" s="99"/>
      <c r="DX273" s="99"/>
      <c r="DY273" s="99"/>
      <c r="DZ273" s="99"/>
      <c r="EA273" s="99"/>
      <c r="EB273" s="99"/>
      <c r="EC273" s="99"/>
      <c r="ED273" s="99"/>
      <c r="EE273" s="99"/>
      <c r="EF273" s="99"/>
      <c r="EG273" s="99"/>
      <c r="EH273" s="99"/>
      <c r="EI273" s="99"/>
      <c r="EJ273" s="99"/>
      <c r="EK273" s="99"/>
      <c r="EL273" s="99"/>
      <c r="EM273" s="99"/>
      <c r="EN273" s="99"/>
      <c r="EO273" s="99"/>
      <c r="EP273" s="99"/>
      <c r="EQ273" s="99"/>
      <c r="ER273" s="99"/>
      <c r="ES273" s="99"/>
      <c r="ET273" s="99"/>
      <c r="EU273" s="99"/>
      <c r="EV273" s="99"/>
      <c r="EW273" s="99"/>
      <c r="EX273" s="99"/>
      <c r="EY273" s="99"/>
      <c r="EZ273" s="99"/>
      <c r="FA273" s="99"/>
      <c r="FB273" s="99"/>
      <c r="FC273" s="99"/>
      <c r="FD273" s="99"/>
      <c r="FE273" s="99"/>
      <c r="FF273" s="99"/>
      <c r="FG273" s="99"/>
      <c r="FH273" s="99"/>
      <c r="FI273" s="99"/>
      <c r="FJ273" s="99"/>
      <c r="FK273" s="99"/>
      <c r="FL273" s="99"/>
      <c r="FM273" s="99"/>
      <c r="FN273" s="99"/>
      <c r="FO273" s="99"/>
      <c r="FP273" s="99"/>
      <c r="FQ273" s="99"/>
      <c r="FR273" s="99"/>
      <c r="FS273" s="99"/>
      <c r="FT273" s="99"/>
      <c r="FU273" s="99"/>
    </row>
    <row r="274" spans="10:177" s="1" customFormat="1" ht="15.75"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  <c r="DA274" s="99"/>
      <c r="DB274" s="99"/>
      <c r="DC274" s="99"/>
      <c r="DD274" s="99"/>
      <c r="DE274" s="99"/>
      <c r="DF274" s="99"/>
      <c r="DG274" s="99"/>
      <c r="DH274" s="99"/>
      <c r="DI274" s="99"/>
      <c r="DJ274" s="99"/>
      <c r="DK274" s="99"/>
      <c r="DL274" s="99"/>
      <c r="DM274" s="99"/>
      <c r="DN274" s="99"/>
      <c r="DO274" s="99"/>
      <c r="DP274" s="99"/>
      <c r="DQ274" s="99"/>
      <c r="DR274" s="99"/>
      <c r="DS274" s="99"/>
      <c r="DT274" s="99"/>
      <c r="DU274" s="99"/>
      <c r="DV274" s="99"/>
      <c r="DW274" s="99"/>
      <c r="DX274" s="99"/>
      <c r="DY274" s="99"/>
      <c r="DZ274" s="99"/>
      <c r="EA274" s="99"/>
      <c r="EB274" s="99"/>
      <c r="EC274" s="99"/>
      <c r="ED274" s="99"/>
      <c r="EE274" s="99"/>
      <c r="EF274" s="99"/>
      <c r="EG274" s="99"/>
      <c r="EH274" s="99"/>
      <c r="EI274" s="99"/>
      <c r="EJ274" s="99"/>
      <c r="EK274" s="99"/>
      <c r="EL274" s="99"/>
      <c r="EM274" s="99"/>
      <c r="EN274" s="99"/>
      <c r="EO274" s="99"/>
      <c r="EP274" s="99"/>
      <c r="EQ274" s="99"/>
      <c r="ER274" s="99"/>
      <c r="ES274" s="99"/>
      <c r="ET274" s="99"/>
      <c r="EU274" s="99"/>
      <c r="EV274" s="99"/>
      <c r="EW274" s="99"/>
      <c r="EX274" s="99"/>
      <c r="EY274" s="99"/>
      <c r="EZ274" s="99"/>
      <c r="FA274" s="99"/>
      <c r="FB274" s="99"/>
      <c r="FC274" s="99"/>
      <c r="FD274" s="99"/>
      <c r="FE274" s="99"/>
      <c r="FF274" s="99"/>
      <c r="FG274" s="99"/>
      <c r="FH274" s="99"/>
      <c r="FI274" s="99"/>
      <c r="FJ274" s="99"/>
      <c r="FK274" s="99"/>
      <c r="FL274" s="99"/>
      <c r="FM274" s="99"/>
      <c r="FN274" s="99"/>
      <c r="FO274" s="99"/>
      <c r="FP274" s="99"/>
      <c r="FQ274" s="99"/>
      <c r="FR274" s="99"/>
      <c r="FS274" s="99"/>
      <c r="FT274" s="99"/>
      <c r="FU274" s="99"/>
    </row>
    <row r="275" spans="10:177" s="1" customFormat="1" ht="15.75"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  <c r="DA275" s="99"/>
      <c r="DB275" s="99"/>
      <c r="DC275" s="99"/>
      <c r="DD275" s="99"/>
      <c r="DE275" s="99"/>
      <c r="DF275" s="99"/>
      <c r="DG275" s="99"/>
      <c r="DH275" s="99"/>
      <c r="DI275" s="99"/>
      <c r="DJ275" s="99"/>
      <c r="DK275" s="99"/>
      <c r="DL275" s="99"/>
      <c r="DM275" s="99"/>
      <c r="DN275" s="99"/>
      <c r="DO275" s="99"/>
      <c r="DP275" s="99"/>
      <c r="DQ275" s="99"/>
      <c r="DR275" s="99"/>
      <c r="DS275" s="99"/>
      <c r="DT275" s="99"/>
      <c r="DU275" s="99"/>
      <c r="DV275" s="99"/>
      <c r="DW275" s="99"/>
      <c r="DX275" s="99"/>
      <c r="DY275" s="99"/>
      <c r="DZ275" s="99"/>
      <c r="EA275" s="99"/>
      <c r="EB275" s="99"/>
      <c r="EC275" s="99"/>
      <c r="ED275" s="99"/>
      <c r="EE275" s="99"/>
      <c r="EF275" s="99"/>
      <c r="EG275" s="99"/>
      <c r="EH275" s="99"/>
      <c r="EI275" s="99"/>
      <c r="EJ275" s="99"/>
      <c r="EK275" s="99"/>
      <c r="EL275" s="99"/>
      <c r="EM275" s="99"/>
      <c r="EN275" s="99"/>
      <c r="EO275" s="99"/>
      <c r="EP275" s="99"/>
      <c r="EQ275" s="99"/>
      <c r="ER275" s="99"/>
      <c r="ES275" s="99"/>
      <c r="ET275" s="99"/>
      <c r="EU275" s="99"/>
      <c r="EV275" s="99"/>
      <c r="EW275" s="99"/>
      <c r="EX275" s="99"/>
      <c r="EY275" s="99"/>
      <c r="EZ275" s="99"/>
      <c r="FA275" s="99"/>
      <c r="FB275" s="99"/>
      <c r="FC275" s="99"/>
      <c r="FD275" s="99"/>
      <c r="FE275" s="99"/>
      <c r="FF275" s="99"/>
      <c r="FG275" s="99"/>
      <c r="FH275" s="99"/>
      <c r="FI275" s="99"/>
      <c r="FJ275" s="99"/>
      <c r="FK275" s="99"/>
      <c r="FL275" s="99"/>
      <c r="FM275" s="99"/>
      <c r="FN275" s="99"/>
      <c r="FO275" s="99"/>
      <c r="FP275" s="99"/>
      <c r="FQ275" s="99"/>
      <c r="FR275" s="99"/>
      <c r="FS275" s="99"/>
      <c r="FT275" s="99"/>
      <c r="FU275" s="99"/>
    </row>
    <row r="276" spans="10:177" s="1" customFormat="1" ht="15.75"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  <c r="CW276" s="99"/>
      <c r="CX276" s="99"/>
      <c r="CY276" s="99"/>
      <c r="CZ276" s="99"/>
      <c r="DA276" s="99"/>
      <c r="DB276" s="99"/>
      <c r="DC276" s="99"/>
      <c r="DD276" s="99"/>
      <c r="DE276" s="99"/>
      <c r="DF276" s="99"/>
      <c r="DG276" s="99"/>
      <c r="DH276" s="99"/>
      <c r="DI276" s="99"/>
      <c r="DJ276" s="99"/>
      <c r="DK276" s="99"/>
      <c r="DL276" s="99"/>
      <c r="DM276" s="99"/>
      <c r="DN276" s="99"/>
      <c r="DO276" s="99"/>
      <c r="DP276" s="99"/>
      <c r="DQ276" s="99"/>
      <c r="DR276" s="99"/>
      <c r="DS276" s="99"/>
      <c r="DT276" s="99"/>
      <c r="DU276" s="99"/>
      <c r="DV276" s="99"/>
      <c r="DW276" s="99"/>
      <c r="DX276" s="99"/>
      <c r="DY276" s="99"/>
      <c r="DZ276" s="99"/>
      <c r="EA276" s="99"/>
      <c r="EB276" s="99"/>
      <c r="EC276" s="99"/>
      <c r="ED276" s="99"/>
      <c r="EE276" s="99"/>
      <c r="EF276" s="99"/>
      <c r="EG276" s="99"/>
      <c r="EH276" s="99"/>
      <c r="EI276" s="99"/>
      <c r="EJ276" s="99"/>
      <c r="EK276" s="99"/>
      <c r="EL276" s="99"/>
      <c r="EM276" s="99"/>
      <c r="EN276" s="99"/>
      <c r="EO276" s="99"/>
      <c r="EP276" s="99"/>
      <c r="EQ276" s="99"/>
      <c r="ER276" s="99"/>
      <c r="ES276" s="99"/>
      <c r="ET276" s="99"/>
      <c r="EU276" s="99"/>
      <c r="EV276" s="99"/>
      <c r="EW276" s="99"/>
      <c r="EX276" s="99"/>
      <c r="EY276" s="99"/>
      <c r="EZ276" s="99"/>
      <c r="FA276" s="99"/>
      <c r="FB276" s="99"/>
      <c r="FC276" s="99"/>
      <c r="FD276" s="99"/>
      <c r="FE276" s="99"/>
      <c r="FF276" s="99"/>
      <c r="FG276" s="99"/>
      <c r="FH276" s="99"/>
      <c r="FI276" s="99"/>
      <c r="FJ276" s="99"/>
      <c r="FK276" s="99"/>
      <c r="FL276" s="99"/>
      <c r="FM276" s="99"/>
      <c r="FN276" s="99"/>
      <c r="FO276" s="99"/>
      <c r="FP276" s="99"/>
      <c r="FQ276" s="99"/>
      <c r="FR276" s="99"/>
      <c r="FS276" s="99"/>
      <c r="FT276" s="99"/>
      <c r="FU276" s="99"/>
    </row>
    <row r="277" spans="10:177" s="1" customFormat="1" ht="15.75"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99"/>
      <c r="CX277" s="99"/>
      <c r="CY277" s="99"/>
      <c r="CZ277" s="99"/>
      <c r="DA277" s="99"/>
      <c r="DB277" s="99"/>
      <c r="DC277" s="99"/>
      <c r="DD277" s="99"/>
      <c r="DE277" s="99"/>
      <c r="DF277" s="99"/>
      <c r="DG277" s="99"/>
      <c r="DH277" s="99"/>
      <c r="DI277" s="99"/>
      <c r="DJ277" s="99"/>
      <c r="DK277" s="99"/>
      <c r="DL277" s="99"/>
      <c r="DM277" s="99"/>
      <c r="DN277" s="99"/>
      <c r="DO277" s="99"/>
      <c r="DP277" s="99"/>
      <c r="DQ277" s="99"/>
      <c r="DR277" s="99"/>
      <c r="DS277" s="99"/>
      <c r="DT277" s="99"/>
      <c r="DU277" s="99"/>
      <c r="DV277" s="99"/>
      <c r="DW277" s="99"/>
      <c r="DX277" s="99"/>
      <c r="DY277" s="99"/>
      <c r="DZ277" s="99"/>
      <c r="EA277" s="99"/>
      <c r="EB277" s="99"/>
      <c r="EC277" s="99"/>
      <c r="ED277" s="99"/>
      <c r="EE277" s="99"/>
      <c r="EF277" s="99"/>
      <c r="EG277" s="99"/>
      <c r="EH277" s="99"/>
      <c r="EI277" s="99"/>
      <c r="EJ277" s="99"/>
      <c r="EK277" s="99"/>
      <c r="EL277" s="99"/>
      <c r="EM277" s="99"/>
      <c r="EN277" s="99"/>
      <c r="EO277" s="99"/>
      <c r="EP277" s="99"/>
      <c r="EQ277" s="99"/>
      <c r="ER277" s="99"/>
      <c r="ES277" s="99"/>
      <c r="ET277" s="99"/>
      <c r="EU277" s="99"/>
      <c r="EV277" s="99"/>
      <c r="EW277" s="99"/>
      <c r="EX277" s="99"/>
      <c r="EY277" s="99"/>
      <c r="EZ277" s="99"/>
      <c r="FA277" s="99"/>
      <c r="FB277" s="99"/>
      <c r="FC277" s="99"/>
      <c r="FD277" s="99"/>
      <c r="FE277" s="99"/>
      <c r="FF277" s="99"/>
      <c r="FG277" s="99"/>
      <c r="FH277" s="99"/>
      <c r="FI277" s="99"/>
      <c r="FJ277" s="99"/>
      <c r="FK277" s="99"/>
      <c r="FL277" s="99"/>
      <c r="FM277" s="99"/>
      <c r="FN277" s="99"/>
      <c r="FO277" s="99"/>
      <c r="FP277" s="99"/>
      <c r="FQ277" s="99"/>
      <c r="FR277" s="99"/>
      <c r="FS277" s="99"/>
      <c r="FT277" s="99"/>
      <c r="FU277" s="99"/>
    </row>
    <row r="278" spans="10:177" s="1" customFormat="1" ht="15.75"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  <c r="CZ278" s="99"/>
      <c r="DA278" s="99"/>
      <c r="DB278" s="99"/>
      <c r="DC278" s="99"/>
      <c r="DD278" s="99"/>
      <c r="DE278" s="99"/>
      <c r="DF278" s="99"/>
      <c r="DG278" s="99"/>
      <c r="DH278" s="99"/>
      <c r="DI278" s="99"/>
      <c r="DJ278" s="99"/>
      <c r="DK278" s="99"/>
      <c r="DL278" s="99"/>
      <c r="DM278" s="99"/>
      <c r="DN278" s="99"/>
      <c r="DO278" s="99"/>
      <c r="DP278" s="99"/>
      <c r="DQ278" s="99"/>
      <c r="DR278" s="99"/>
      <c r="DS278" s="99"/>
      <c r="DT278" s="99"/>
      <c r="DU278" s="99"/>
      <c r="DV278" s="99"/>
      <c r="DW278" s="99"/>
      <c r="DX278" s="99"/>
      <c r="DY278" s="99"/>
      <c r="DZ278" s="99"/>
      <c r="EA278" s="99"/>
      <c r="EB278" s="99"/>
      <c r="EC278" s="99"/>
      <c r="ED278" s="99"/>
      <c r="EE278" s="99"/>
      <c r="EF278" s="99"/>
      <c r="EG278" s="99"/>
      <c r="EH278" s="99"/>
      <c r="EI278" s="99"/>
      <c r="EJ278" s="99"/>
      <c r="EK278" s="99"/>
      <c r="EL278" s="99"/>
      <c r="EM278" s="99"/>
      <c r="EN278" s="99"/>
      <c r="EO278" s="99"/>
      <c r="EP278" s="99"/>
      <c r="EQ278" s="99"/>
      <c r="ER278" s="99"/>
      <c r="ES278" s="99"/>
      <c r="ET278" s="99"/>
      <c r="EU278" s="99"/>
      <c r="EV278" s="99"/>
      <c r="EW278" s="99"/>
      <c r="EX278" s="99"/>
      <c r="EY278" s="99"/>
      <c r="EZ278" s="99"/>
      <c r="FA278" s="99"/>
      <c r="FB278" s="99"/>
      <c r="FC278" s="99"/>
      <c r="FD278" s="99"/>
      <c r="FE278" s="99"/>
      <c r="FF278" s="99"/>
      <c r="FG278" s="99"/>
      <c r="FH278" s="99"/>
      <c r="FI278" s="99"/>
      <c r="FJ278" s="99"/>
      <c r="FK278" s="99"/>
      <c r="FL278" s="99"/>
      <c r="FM278" s="99"/>
      <c r="FN278" s="99"/>
      <c r="FO278" s="99"/>
      <c r="FP278" s="99"/>
      <c r="FQ278" s="99"/>
      <c r="FR278" s="99"/>
      <c r="FS278" s="99"/>
      <c r="FT278" s="99"/>
      <c r="FU278" s="99"/>
    </row>
    <row r="279" spans="10:177" s="1" customFormat="1" ht="15.75"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  <c r="CW279" s="99"/>
      <c r="CX279" s="99"/>
      <c r="CY279" s="99"/>
      <c r="CZ279" s="99"/>
      <c r="DA279" s="99"/>
      <c r="DB279" s="99"/>
      <c r="DC279" s="99"/>
      <c r="DD279" s="99"/>
      <c r="DE279" s="99"/>
      <c r="DF279" s="99"/>
      <c r="DG279" s="99"/>
      <c r="DH279" s="99"/>
      <c r="DI279" s="99"/>
      <c r="DJ279" s="99"/>
      <c r="DK279" s="99"/>
      <c r="DL279" s="99"/>
      <c r="DM279" s="99"/>
      <c r="DN279" s="99"/>
      <c r="DO279" s="99"/>
      <c r="DP279" s="99"/>
      <c r="DQ279" s="99"/>
      <c r="DR279" s="99"/>
      <c r="DS279" s="99"/>
      <c r="DT279" s="99"/>
      <c r="DU279" s="99"/>
      <c r="DV279" s="99"/>
      <c r="DW279" s="99"/>
      <c r="DX279" s="99"/>
      <c r="DY279" s="99"/>
      <c r="DZ279" s="99"/>
      <c r="EA279" s="99"/>
      <c r="EB279" s="99"/>
      <c r="EC279" s="99"/>
      <c r="ED279" s="99"/>
      <c r="EE279" s="99"/>
      <c r="EF279" s="99"/>
      <c r="EG279" s="99"/>
      <c r="EH279" s="99"/>
      <c r="EI279" s="99"/>
      <c r="EJ279" s="99"/>
      <c r="EK279" s="99"/>
      <c r="EL279" s="99"/>
      <c r="EM279" s="99"/>
      <c r="EN279" s="99"/>
      <c r="EO279" s="99"/>
      <c r="EP279" s="99"/>
      <c r="EQ279" s="99"/>
      <c r="ER279" s="99"/>
      <c r="ES279" s="99"/>
      <c r="ET279" s="99"/>
      <c r="EU279" s="99"/>
      <c r="EV279" s="99"/>
      <c r="EW279" s="99"/>
      <c r="EX279" s="99"/>
      <c r="EY279" s="99"/>
      <c r="EZ279" s="99"/>
      <c r="FA279" s="99"/>
      <c r="FB279" s="99"/>
      <c r="FC279" s="99"/>
      <c r="FD279" s="99"/>
      <c r="FE279" s="99"/>
      <c r="FF279" s="99"/>
      <c r="FG279" s="99"/>
      <c r="FH279" s="99"/>
      <c r="FI279" s="99"/>
      <c r="FJ279" s="99"/>
      <c r="FK279" s="99"/>
      <c r="FL279" s="99"/>
      <c r="FM279" s="99"/>
      <c r="FN279" s="99"/>
      <c r="FO279" s="99"/>
      <c r="FP279" s="99"/>
      <c r="FQ279" s="99"/>
      <c r="FR279" s="99"/>
      <c r="FS279" s="99"/>
      <c r="FT279" s="99"/>
      <c r="FU279" s="99"/>
    </row>
    <row r="280" spans="10:177" s="1" customFormat="1" ht="15.75"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  <c r="CW280" s="99"/>
      <c r="CX280" s="99"/>
      <c r="CY280" s="99"/>
      <c r="CZ280" s="99"/>
      <c r="DA280" s="99"/>
      <c r="DB280" s="99"/>
      <c r="DC280" s="99"/>
      <c r="DD280" s="99"/>
      <c r="DE280" s="99"/>
      <c r="DF280" s="99"/>
      <c r="DG280" s="99"/>
      <c r="DH280" s="99"/>
      <c r="DI280" s="99"/>
      <c r="DJ280" s="99"/>
      <c r="DK280" s="99"/>
      <c r="DL280" s="99"/>
      <c r="DM280" s="99"/>
      <c r="DN280" s="99"/>
      <c r="DO280" s="99"/>
      <c r="DP280" s="99"/>
      <c r="DQ280" s="99"/>
      <c r="DR280" s="99"/>
      <c r="DS280" s="99"/>
      <c r="DT280" s="99"/>
      <c r="DU280" s="99"/>
      <c r="DV280" s="99"/>
      <c r="DW280" s="99"/>
      <c r="DX280" s="99"/>
      <c r="DY280" s="99"/>
      <c r="DZ280" s="99"/>
      <c r="EA280" s="99"/>
      <c r="EB280" s="99"/>
      <c r="EC280" s="99"/>
      <c r="ED280" s="99"/>
      <c r="EE280" s="99"/>
      <c r="EF280" s="99"/>
      <c r="EG280" s="99"/>
      <c r="EH280" s="99"/>
      <c r="EI280" s="99"/>
      <c r="EJ280" s="99"/>
      <c r="EK280" s="99"/>
      <c r="EL280" s="99"/>
      <c r="EM280" s="99"/>
      <c r="EN280" s="99"/>
      <c r="EO280" s="99"/>
      <c r="EP280" s="99"/>
      <c r="EQ280" s="99"/>
      <c r="ER280" s="99"/>
      <c r="ES280" s="99"/>
      <c r="ET280" s="99"/>
      <c r="EU280" s="99"/>
      <c r="EV280" s="99"/>
      <c r="EW280" s="99"/>
      <c r="EX280" s="99"/>
      <c r="EY280" s="99"/>
      <c r="EZ280" s="99"/>
      <c r="FA280" s="99"/>
      <c r="FB280" s="99"/>
      <c r="FC280" s="99"/>
      <c r="FD280" s="99"/>
      <c r="FE280" s="99"/>
      <c r="FF280" s="99"/>
      <c r="FG280" s="99"/>
      <c r="FH280" s="99"/>
      <c r="FI280" s="99"/>
      <c r="FJ280" s="99"/>
      <c r="FK280" s="99"/>
      <c r="FL280" s="99"/>
      <c r="FM280" s="99"/>
      <c r="FN280" s="99"/>
      <c r="FO280" s="99"/>
      <c r="FP280" s="99"/>
      <c r="FQ280" s="99"/>
      <c r="FR280" s="99"/>
      <c r="FS280" s="99"/>
      <c r="FT280" s="99"/>
      <c r="FU280" s="99"/>
    </row>
    <row r="281" spans="10:177" s="1" customFormat="1" ht="15.75"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  <c r="CW281" s="99"/>
      <c r="CX281" s="99"/>
      <c r="CY281" s="99"/>
      <c r="CZ281" s="99"/>
      <c r="DA281" s="99"/>
      <c r="DB281" s="99"/>
      <c r="DC281" s="99"/>
      <c r="DD281" s="99"/>
      <c r="DE281" s="99"/>
      <c r="DF281" s="99"/>
      <c r="DG281" s="99"/>
      <c r="DH281" s="99"/>
      <c r="DI281" s="99"/>
      <c r="DJ281" s="99"/>
      <c r="DK281" s="99"/>
      <c r="DL281" s="99"/>
      <c r="DM281" s="99"/>
      <c r="DN281" s="99"/>
      <c r="DO281" s="99"/>
      <c r="DP281" s="99"/>
      <c r="DQ281" s="99"/>
      <c r="DR281" s="99"/>
      <c r="DS281" s="99"/>
      <c r="DT281" s="99"/>
      <c r="DU281" s="99"/>
      <c r="DV281" s="99"/>
      <c r="DW281" s="99"/>
      <c r="DX281" s="99"/>
      <c r="DY281" s="99"/>
      <c r="DZ281" s="99"/>
      <c r="EA281" s="99"/>
      <c r="EB281" s="99"/>
      <c r="EC281" s="99"/>
      <c r="ED281" s="99"/>
      <c r="EE281" s="99"/>
      <c r="EF281" s="99"/>
      <c r="EG281" s="99"/>
      <c r="EH281" s="99"/>
      <c r="EI281" s="99"/>
      <c r="EJ281" s="99"/>
      <c r="EK281" s="99"/>
      <c r="EL281" s="99"/>
      <c r="EM281" s="99"/>
      <c r="EN281" s="99"/>
      <c r="EO281" s="99"/>
      <c r="EP281" s="99"/>
      <c r="EQ281" s="99"/>
      <c r="ER281" s="99"/>
      <c r="ES281" s="99"/>
      <c r="ET281" s="99"/>
      <c r="EU281" s="99"/>
      <c r="EV281" s="99"/>
      <c r="EW281" s="99"/>
      <c r="EX281" s="99"/>
      <c r="EY281" s="99"/>
      <c r="EZ281" s="99"/>
      <c r="FA281" s="99"/>
      <c r="FB281" s="99"/>
      <c r="FC281" s="99"/>
      <c r="FD281" s="99"/>
      <c r="FE281" s="99"/>
      <c r="FF281" s="99"/>
      <c r="FG281" s="99"/>
      <c r="FH281" s="99"/>
      <c r="FI281" s="99"/>
      <c r="FJ281" s="99"/>
      <c r="FK281" s="99"/>
      <c r="FL281" s="99"/>
      <c r="FM281" s="99"/>
      <c r="FN281" s="99"/>
      <c r="FO281" s="99"/>
      <c r="FP281" s="99"/>
      <c r="FQ281" s="99"/>
      <c r="FR281" s="99"/>
      <c r="FS281" s="99"/>
      <c r="FT281" s="99"/>
      <c r="FU281" s="99"/>
    </row>
    <row r="282" spans="10:177" s="1" customFormat="1" ht="15.75"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  <c r="CW282" s="99"/>
      <c r="CX282" s="99"/>
      <c r="CY282" s="99"/>
      <c r="CZ282" s="99"/>
      <c r="DA282" s="99"/>
      <c r="DB282" s="99"/>
      <c r="DC282" s="99"/>
      <c r="DD282" s="99"/>
      <c r="DE282" s="99"/>
      <c r="DF282" s="99"/>
      <c r="DG282" s="99"/>
      <c r="DH282" s="99"/>
      <c r="DI282" s="99"/>
      <c r="DJ282" s="99"/>
      <c r="DK282" s="99"/>
      <c r="DL282" s="99"/>
      <c r="DM282" s="99"/>
      <c r="DN282" s="99"/>
      <c r="DO282" s="99"/>
      <c r="DP282" s="99"/>
      <c r="DQ282" s="99"/>
      <c r="DR282" s="99"/>
      <c r="DS282" s="99"/>
      <c r="DT282" s="99"/>
      <c r="DU282" s="99"/>
      <c r="DV282" s="99"/>
      <c r="DW282" s="99"/>
      <c r="DX282" s="99"/>
      <c r="DY282" s="99"/>
      <c r="DZ282" s="99"/>
      <c r="EA282" s="99"/>
      <c r="EB282" s="99"/>
      <c r="EC282" s="99"/>
      <c r="ED282" s="99"/>
      <c r="EE282" s="99"/>
      <c r="EF282" s="99"/>
      <c r="EG282" s="99"/>
      <c r="EH282" s="99"/>
      <c r="EI282" s="99"/>
      <c r="EJ282" s="99"/>
      <c r="EK282" s="99"/>
      <c r="EL282" s="99"/>
      <c r="EM282" s="99"/>
      <c r="EN282" s="99"/>
      <c r="EO282" s="99"/>
      <c r="EP282" s="99"/>
      <c r="EQ282" s="99"/>
      <c r="ER282" s="99"/>
      <c r="ES282" s="99"/>
      <c r="ET282" s="99"/>
      <c r="EU282" s="99"/>
      <c r="EV282" s="99"/>
      <c r="EW282" s="99"/>
      <c r="EX282" s="99"/>
      <c r="EY282" s="99"/>
      <c r="EZ282" s="99"/>
      <c r="FA282" s="99"/>
      <c r="FB282" s="99"/>
      <c r="FC282" s="99"/>
      <c r="FD282" s="99"/>
      <c r="FE282" s="99"/>
      <c r="FF282" s="99"/>
      <c r="FG282" s="99"/>
      <c r="FH282" s="99"/>
      <c r="FI282" s="99"/>
      <c r="FJ282" s="99"/>
      <c r="FK282" s="99"/>
      <c r="FL282" s="99"/>
      <c r="FM282" s="99"/>
      <c r="FN282" s="99"/>
      <c r="FO282" s="99"/>
      <c r="FP282" s="99"/>
      <c r="FQ282" s="99"/>
      <c r="FR282" s="99"/>
      <c r="FS282" s="99"/>
      <c r="FT282" s="99"/>
      <c r="FU282" s="99"/>
    </row>
    <row r="283" spans="10:177" s="1" customFormat="1" ht="15.75"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  <c r="CW283" s="99"/>
      <c r="CX283" s="99"/>
      <c r="CY283" s="99"/>
      <c r="CZ283" s="99"/>
      <c r="DA283" s="99"/>
      <c r="DB283" s="99"/>
      <c r="DC283" s="99"/>
      <c r="DD283" s="99"/>
      <c r="DE283" s="99"/>
      <c r="DF283" s="99"/>
      <c r="DG283" s="99"/>
      <c r="DH283" s="99"/>
      <c r="DI283" s="99"/>
      <c r="DJ283" s="99"/>
      <c r="DK283" s="99"/>
      <c r="DL283" s="99"/>
      <c r="DM283" s="99"/>
      <c r="DN283" s="99"/>
      <c r="DO283" s="99"/>
      <c r="DP283" s="99"/>
      <c r="DQ283" s="99"/>
      <c r="DR283" s="99"/>
      <c r="DS283" s="99"/>
      <c r="DT283" s="99"/>
      <c r="DU283" s="99"/>
      <c r="DV283" s="99"/>
      <c r="DW283" s="99"/>
      <c r="DX283" s="99"/>
      <c r="DY283" s="99"/>
      <c r="DZ283" s="99"/>
      <c r="EA283" s="99"/>
      <c r="EB283" s="99"/>
      <c r="EC283" s="99"/>
      <c r="ED283" s="99"/>
      <c r="EE283" s="99"/>
      <c r="EF283" s="99"/>
      <c r="EG283" s="99"/>
      <c r="EH283" s="99"/>
      <c r="EI283" s="99"/>
      <c r="EJ283" s="99"/>
      <c r="EK283" s="99"/>
      <c r="EL283" s="99"/>
      <c r="EM283" s="99"/>
      <c r="EN283" s="99"/>
      <c r="EO283" s="99"/>
      <c r="EP283" s="99"/>
      <c r="EQ283" s="99"/>
      <c r="ER283" s="99"/>
      <c r="ES283" s="99"/>
      <c r="ET283" s="99"/>
      <c r="EU283" s="99"/>
      <c r="EV283" s="99"/>
      <c r="EW283" s="99"/>
      <c r="EX283" s="99"/>
      <c r="EY283" s="99"/>
      <c r="EZ283" s="99"/>
      <c r="FA283" s="99"/>
      <c r="FB283" s="99"/>
      <c r="FC283" s="99"/>
      <c r="FD283" s="99"/>
      <c r="FE283" s="99"/>
      <c r="FF283" s="99"/>
      <c r="FG283" s="99"/>
      <c r="FH283" s="99"/>
      <c r="FI283" s="99"/>
      <c r="FJ283" s="99"/>
      <c r="FK283" s="99"/>
      <c r="FL283" s="99"/>
      <c r="FM283" s="99"/>
      <c r="FN283" s="99"/>
      <c r="FO283" s="99"/>
      <c r="FP283" s="99"/>
      <c r="FQ283" s="99"/>
      <c r="FR283" s="99"/>
      <c r="FS283" s="99"/>
      <c r="FT283" s="99"/>
      <c r="FU283" s="99"/>
    </row>
    <row r="284" spans="10:177" s="1" customFormat="1" ht="15.75"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  <c r="CW284" s="99"/>
      <c r="CX284" s="99"/>
      <c r="CY284" s="99"/>
      <c r="CZ284" s="99"/>
      <c r="DA284" s="99"/>
      <c r="DB284" s="99"/>
      <c r="DC284" s="99"/>
      <c r="DD284" s="99"/>
      <c r="DE284" s="99"/>
      <c r="DF284" s="99"/>
      <c r="DG284" s="99"/>
      <c r="DH284" s="99"/>
      <c r="DI284" s="99"/>
      <c r="DJ284" s="99"/>
      <c r="DK284" s="99"/>
      <c r="DL284" s="99"/>
      <c r="DM284" s="99"/>
      <c r="DN284" s="99"/>
      <c r="DO284" s="99"/>
      <c r="DP284" s="99"/>
      <c r="DQ284" s="99"/>
      <c r="DR284" s="99"/>
      <c r="DS284" s="99"/>
      <c r="DT284" s="99"/>
      <c r="DU284" s="99"/>
      <c r="DV284" s="99"/>
      <c r="DW284" s="99"/>
      <c r="DX284" s="99"/>
      <c r="DY284" s="99"/>
      <c r="DZ284" s="99"/>
      <c r="EA284" s="99"/>
      <c r="EB284" s="99"/>
      <c r="EC284" s="99"/>
      <c r="ED284" s="99"/>
      <c r="EE284" s="99"/>
      <c r="EF284" s="99"/>
      <c r="EG284" s="99"/>
      <c r="EH284" s="99"/>
      <c r="EI284" s="99"/>
      <c r="EJ284" s="99"/>
      <c r="EK284" s="99"/>
      <c r="EL284" s="99"/>
      <c r="EM284" s="99"/>
      <c r="EN284" s="99"/>
      <c r="EO284" s="99"/>
      <c r="EP284" s="99"/>
      <c r="EQ284" s="99"/>
      <c r="ER284" s="99"/>
      <c r="ES284" s="99"/>
      <c r="ET284" s="99"/>
      <c r="EU284" s="99"/>
      <c r="EV284" s="99"/>
      <c r="EW284" s="99"/>
      <c r="EX284" s="99"/>
      <c r="EY284" s="99"/>
      <c r="EZ284" s="99"/>
      <c r="FA284" s="99"/>
      <c r="FB284" s="99"/>
      <c r="FC284" s="99"/>
      <c r="FD284" s="99"/>
      <c r="FE284" s="99"/>
      <c r="FF284" s="99"/>
      <c r="FG284" s="99"/>
      <c r="FH284" s="99"/>
      <c r="FI284" s="99"/>
      <c r="FJ284" s="99"/>
      <c r="FK284" s="99"/>
      <c r="FL284" s="99"/>
      <c r="FM284" s="99"/>
      <c r="FN284" s="99"/>
      <c r="FO284" s="99"/>
      <c r="FP284" s="99"/>
      <c r="FQ284" s="99"/>
      <c r="FR284" s="99"/>
      <c r="FS284" s="99"/>
      <c r="FT284" s="99"/>
      <c r="FU284" s="99"/>
    </row>
    <row r="285" spans="10:177" s="1" customFormat="1" ht="15.75"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  <c r="CW285" s="99"/>
      <c r="CX285" s="99"/>
      <c r="CY285" s="99"/>
      <c r="CZ285" s="99"/>
      <c r="DA285" s="99"/>
      <c r="DB285" s="99"/>
      <c r="DC285" s="99"/>
      <c r="DD285" s="99"/>
      <c r="DE285" s="99"/>
      <c r="DF285" s="99"/>
      <c r="DG285" s="99"/>
      <c r="DH285" s="99"/>
      <c r="DI285" s="99"/>
      <c r="DJ285" s="99"/>
      <c r="DK285" s="99"/>
      <c r="DL285" s="99"/>
      <c r="DM285" s="99"/>
      <c r="DN285" s="99"/>
      <c r="DO285" s="99"/>
      <c r="DP285" s="99"/>
      <c r="DQ285" s="99"/>
      <c r="DR285" s="99"/>
      <c r="DS285" s="99"/>
      <c r="DT285" s="99"/>
      <c r="DU285" s="99"/>
      <c r="DV285" s="99"/>
      <c r="DW285" s="99"/>
      <c r="DX285" s="99"/>
      <c r="DY285" s="99"/>
      <c r="DZ285" s="99"/>
      <c r="EA285" s="99"/>
      <c r="EB285" s="99"/>
      <c r="EC285" s="99"/>
      <c r="ED285" s="99"/>
      <c r="EE285" s="99"/>
      <c r="EF285" s="99"/>
      <c r="EG285" s="99"/>
      <c r="EH285" s="99"/>
      <c r="EI285" s="99"/>
      <c r="EJ285" s="99"/>
      <c r="EK285" s="99"/>
      <c r="EL285" s="99"/>
      <c r="EM285" s="99"/>
      <c r="EN285" s="99"/>
      <c r="EO285" s="99"/>
      <c r="EP285" s="99"/>
      <c r="EQ285" s="99"/>
      <c r="ER285" s="99"/>
      <c r="ES285" s="99"/>
      <c r="ET285" s="99"/>
      <c r="EU285" s="99"/>
      <c r="EV285" s="99"/>
      <c r="EW285" s="99"/>
      <c r="EX285" s="99"/>
      <c r="EY285" s="99"/>
      <c r="EZ285" s="99"/>
      <c r="FA285" s="99"/>
      <c r="FB285" s="99"/>
      <c r="FC285" s="99"/>
      <c r="FD285" s="99"/>
      <c r="FE285" s="99"/>
      <c r="FF285" s="99"/>
      <c r="FG285" s="99"/>
      <c r="FH285" s="99"/>
      <c r="FI285" s="99"/>
      <c r="FJ285" s="99"/>
      <c r="FK285" s="99"/>
      <c r="FL285" s="99"/>
      <c r="FM285" s="99"/>
      <c r="FN285" s="99"/>
      <c r="FO285" s="99"/>
      <c r="FP285" s="99"/>
      <c r="FQ285" s="99"/>
      <c r="FR285" s="99"/>
      <c r="FS285" s="99"/>
      <c r="FT285" s="99"/>
      <c r="FU285" s="99"/>
    </row>
    <row r="286" spans="10:177" s="1" customFormat="1" ht="15.75"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99"/>
      <c r="DL286" s="99"/>
      <c r="DM286" s="99"/>
      <c r="DN286" s="99"/>
      <c r="DO286" s="99"/>
      <c r="DP286" s="99"/>
      <c r="DQ286" s="99"/>
      <c r="DR286" s="99"/>
      <c r="DS286" s="99"/>
      <c r="DT286" s="99"/>
      <c r="DU286" s="99"/>
      <c r="DV286" s="99"/>
      <c r="DW286" s="99"/>
      <c r="DX286" s="99"/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99"/>
      <c r="EL286" s="99"/>
      <c r="EM286" s="99"/>
      <c r="EN286" s="99"/>
      <c r="EO286" s="99"/>
      <c r="EP286" s="99"/>
      <c r="EQ286" s="99"/>
      <c r="ER286" s="99"/>
      <c r="ES286" s="99"/>
      <c r="ET286" s="99"/>
      <c r="EU286" s="99"/>
      <c r="EV286" s="99"/>
      <c r="EW286" s="99"/>
      <c r="EX286" s="99"/>
      <c r="EY286" s="99"/>
      <c r="EZ286" s="99"/>
      <c r="FA286" s="99"/>
      <c r="FB286" s="99"/>
      <c r="FC286" s="99"/>
      <c r="FD286" s="99"/>
      <c r="FE286" s="99"/>
      <c r="FF286" s="99"/>
      <c r="FG286" s="99"/>
      <c r="FH286" s="99"/>
      <c r="FI286" s="99"/>
      <c r="FJ286" s="99"/>
      <c r="FK286" s="99"/>
      <c r="FL286" s="99"/>
      <c r="FM286" s="99"/>
      <c r="FN286" s="99"/>
      <c r="FO286" s="99"/>
      <c r="FP286" s="99"/>
      <c r="FQ286" s="99"/>
      <c r="FR286" s="99"/>
      <c r="FS286" s="99"/>
      <c r="FT286" s="99"/>
      <c r="FU286" s="99"/>
    </row>
    <row r="287" spans="10:177" s="1" customFormat="1" ht="15.75"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  <c r="CW287" s="99"/>
      <c r="CX287" s="99"/>
      <c r="CY287" s="99"/>
      <c r="CZ287" s="99"/>
      <c r="DA287" s="99"/>
      <c r="DB287" s="99"/>
      <c r="DC287" s="99"/>
      <c r="DD287" s="99"/>
      <c r="DE287" s="99"/>
      <c r="DF287" s="99"/>
      <c r="DG287" s="99"/>
      <c r="DH287" s="99"/>
      <c r="DI287" s="99"/>
      <c r="DJ287" s="99"/>
      <c r="DK287" s="99"/>
      <c r="DL287" s="99"/>
      <c r="DM287" s="99"/>
      <c r="DN287" s="99"/>
      <c r="DO287" s="99"/>
      <c r="DP287" s="99"/>
      <c r="DQ287" s="99"/>
      <c r="DR287" s="99"/>
      <c r="DS287" s="99"/>
      <c r="DT287" s="99"/>
      <c r="DU287" s="99"/>
      <c r="DV287" s="99"/>
      <c r="DW287" s="99"/>
      <c r="DX287" s="99"/>
      <c r="DY287" s="99"/>
      <c r="DZ287" s="99"/>
      <c r="EA287" s="99"/>
      <c r="EB287" s="99"/>
      <c r="EC287" s="99"/>
      <c r="ED287" s="99"/>
      <c r="EE287" s="99"/>
      <c r="EF287" s="99"/>
      <c r="EG287" s="99"/>
      <c r="EH287" s="99"/>
      <c r="EI287" s="99"/>
      <c r="EJ287" s="99"/>
      <c r="EK287" s="99"/>
      <c r="EL287" s="99"/>
      <c r="EM287" s="99"/>
      <c r="EN287" s="99"/>
      <c r="EO287" s="99"/>
      <c r="EP287" s="99"/>
      <c r="EQ287" s="99"/>
      <c r="ER287" s="99"/>
      <c r="ES287" s="99"/>
      <c r="ET287" s="99"/>
      <c r="EU287" s="99"/>
      <c r="EV287" s="99"/>
      <c r="EW287" s="99"/>
      <c r="EX287" s="99"/>
      <c r="EY287" s="99"/>
      <c r="EZ287" s="99"/>
      <c r="FA287" s="99"/>
      <c r="FB287" s="99"/>
      <c r="FC287" s="99"/>
      <c r="FD287" s="99"/>
      <c r="FE287" s="99"/>
      <c r="FF287" s="99"/>
      <c r="FG287" s="99"/>
      <c r="FH287" s="99"/>
      <c r="FI287" s="99"/>
      <c r="FJ287" s="99"/>
      <c r="FK287" s="99"/>
      <c r="FL287" s="99"/>
      <c r="FM287" s="99"/>
      <c r="FN287" s="99"/>
      <c r="FO287" s="99"/>
      <c r="FP287" s="99"/>
      <c r="FQ287" s="99"/>
      <c r="FR287" s="99"/>
      <c r="FS287" s="99"/>
      <c r="FT287" s="99"/>
      <c r="FU287" s="99"/>
    </row>
    <row r="288" spans="10:177" s="1" customFormat="1" ht="15.75"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  <c r="DA288" s="99"/>
      <c r="DB288" s="99"/>
      <c r="DC288" s="99"/>
      <c r="DD288" s="99"/>
      <c r="DE288" s="99"/>
      <c r="DF288" s="99"/>
      <c r="DG288" s="99"/>
      <c r="DH288" s="99"/>
      <c r="DI288" s="99"/>
      <c r="DJ288" s="99"/>
      <c r="DK288" s="99"/>
      <c r="DL288" s="99"/>
      <c r="DM288" s="99"/>
      <c r="DN288" s="99"/>
      <c r="DO288" s="99"/>
      <c r="DP288" s="99"/>
      <c r="DQ288" s="99"/>
      <c r="DR288" s="99"/>
      <c r="DS288" s="99"/>
      <c r="DT288" s="99"/>
      <c r="DU288" s="99"/>
      <c r="DV288" s="99"/>
      <c r="DW288" s="99"/>
      <c r="DX288" s="99"/>
      <c r="DY288" s="99"/>
      <c r="DZ288" s="99"/>
      <c r="EA288" s="99"/>
      <c r="EB288" s="99"/>
      <c r="EC288" s="99"/>
      <c r="ED288" s="99"/>
      <c r="EE288" s="99"/>
      <c r="EF288" s="99"/>
      <c r="EG288" s="99"/>
      <c r="EH288" s="99"/>
      <c r="EI288" s="99"/>
      <c r="EJ288" s="99"/>
      <c r="EK288" s="99"/>
      <c r="EL288" s="99"/>
      <c r="EM288" s="99"/>
      <c r="EN288" s="99"/>
      <c r="EO288" s="99"/>
      <c r="EP288" s="99"/>
      <c r="EQ288" s="99"/>
      <c r="ER288" s="99"/>
      <c r="ES288" s="99"/>
      <c r="ET288" s="99"/>
      <c r="EU288" s="99"/>
      <c r="EV288" s="99"/>
      <c r="EW288" s="99"/>
      <c r="EX288" s="99"/>
      <c r="EY288" s="99"/>
      <c r="EZ288" s="99"/>
      <c r="FA288" s="99"/>
      <c r="FB288" s="99"/>
      <c r="FC288" s="99"/>
      <c r="FD288" s="99"/>
      <c r="FE288" s="99"/>
      <c r="FF288" s="99"/>
      <c r="FG288" s="99"/>
      <c r="FH288" s="99"/>
      <c r="FI288" s="99"/>
      <c r="FJ288" s="99"/>
      <c r="FK288" s="99"/>
      <c r="FL288" s="99"/>
      <c r="FM288" s="99"/>
      <c r="FN288" s="99"/>
      <c r="FO288" s="99"/>
      <c r="FP288" s="99"/>
      <c r="FQ288" s="99"/>
      <c r="FR288" s="99"/>
      <c r="FS288" s="99"/>
      <c r="FT288" s="99"/>
      <c r="FU288" s="99"/>
    </row>
    <row r="289" spans="10:177" s="1" customFormat="1" ht="15.75"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  <c r="CZ289" s="99"/>
      <c r="DA289" s="99"/>
      <c r="DB289" s="99"/>
      <c r="DC289" s="99"/>
      <c r="DD289" s="99"/>
      <c r="DE289" s="99"/>
      <c r="DF289" s="99"/>
      <c r="DG289" s="99"/>
      <c r="DH289" s="99"/>
      <c r="DI289" s="99"/>
      <c r="DJ289" s="99"/>
      <c r="DK289" s="99"/>
      <c r="DL289" s="99"/>
      <c r="DM289" s="99"/>
      <c r="DN289" s="99"/>
      <c r="DO289" s="99"/>
      <c r="DP289" s="99"/>
      <c r="DQ289" s="99"/>
      <c r="DR289" s="99"/>
      <c r="DS289" s="99"/>
      <c r="DT289" s="99"/>
      <c r="DU289" s="99"/>
      <c r="DV289" s="99"/>
      <c r="DW289" s="99"/>
      <c r="DX289" s="99"/>
      <c r="DY289" s="99"/>
      <c r="DZ289" s="99"/>
      <c r="EA289" s="99"/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99"/>
      <c r="EZ289" s="99"/>
      <c r="FA289" s="99"/>
      <c r="FB289" s="99"/>
      <c r="FC289" s="99"/>
      <c r="FD289" s="99"/>
      <c r="FE289" s="99"/>
      <c r="FF289" s="99"/>
      <c r="FG289" s="99"/>
      <c r="FH289" s="99"/>
      <c r="FI289" s="99"/>
      <c r="FJ289" s="99"/>
      <c r="FK289" s="99"/>
      <c r="FL289" s="99"/>
      <c r="FM289" s="99"/>
      <c r="FN289" s="99"/>
      <c r="FO289" s="99"/>
      <c r="FP289" s="99"/>
      <c r="FQ289" s="99"/>
      <c r="FR289" s="99"/>
      <c r="FS289" s="99"/>
      <c r="FT289" s="99"/>
      <c r="FU289" s="99"/>
    </row>
    <row r="290" spans="10:177" s="1" customFormat="1" ht="15.75"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DV290" s="99"/>
      <c r="DW290" s="99"/>
      <c r="DX290" s="99"/>
      <c r="DY290" s="99"/>
      <c r="DZ290" s="99"/>
      <c r="EA290" s="99"/>
      <c r="EB290" s="99"/>
      <c r="EC290" s="99"/>
      <c r="ED290" s="99"/>
      <c r="EE290" s="99"/>
      <c r="EF290" s="99"/>
      <c r="EG290" s="99"/>
      <c r="EH290" s="99"/>
      <c r="EI290" s="99"/>
      <c r="EJ290" s="99"/>
      <c r="EK290" s="99"/>
      <c r="EL290" s="99"/>
      <c r="EM290" s="99"/>
      <c r="EN290" s="99"/>
      <c r="EO290" s="99"/>
      <c r="EP290" s="99"/>
      <c r="EQ290" s="99"/>
      <c r="ER290" s="99"/>
      <c r="ES290" s="99"/>
      <c r="ET290" s="99"/>
      <c r="EU290" s="99"/>
      <c r="EV290" s="99"/>
      <c r="EW290" s="99"/>
      <c r="EX290" s="99"/>
      <c r="EY290" s="99"/>
      <c r="EZ290" s="99"/>
      <c r="FA290" s="99"/>
      <c r="FB290" s="99"/>
      <c r="FC290" s="99"/>
      <c r="FD290" s="99"/>
      <c r="FE290" s="99"/>
      <c r="FF290" s="99"/>
      <c r="FG290" s="99"/>
      <c r="FH290" s="99"/>
      <c r="FI290" s="99"/>
      <c r="FJ290" s="99"/>
      <c r="FK290" s="99"/>
      <c r="FL290" s="99"/>
      <c r="FM290" s="99"/>
      <c r="FN290" s="99"/>
      <c r="FO290" s="99"/>
      <c r="FP290" s="99"/>
      <c r="FQ290" s="99"/>
      <c r="FR290" s="99"/>
      <c r="FS290" s="99"/>
      <c r="FT290" s="99"/>
      <c r="FU290" s="99"/>
    </row>
    <row r="291" spans="10:177" s="1" customFormat="1" ht="15.75"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  <c r="CW291" s="99"/>
      <c r="CX291" s="99"/>
      <c r="CY291" s="99"/>
      <c r="CZ291" s="99"/>
      <c r="DA291" s="99"/>
      <c r="DB291" s="99"/>
      <c r="DC291" s="99"/>
      <c r="DD291" s="99"/>
      <c r="DE291" s="99"/>
      <c r="DF291" s="99"/>
      <c r="DG291" s="99"/>
      <c r="DH291" s="99"/>
      <c r="DI291" s="99"/>
      <c r="DJ291" s="99"/>
      <c r="DK291" s="99"/>
      <c r="DL291" s="99"/>
      <c r="DM291" s="99"/>
      <c r="DN291" s="99"/>
      <c r="DO291" s="99"/>
      <c r="DP291" s="99"/>
      <c r="DQ291" s="99"/>
      <c r="DR291" s="99"/>
      <c r="DS291" s="99"/>
      <c r="DT291" s="99"/>
      <c r="DU291" s="99"/>
      <c r="DV291" s="99"/>
      <c r="DW291" s="99"/>
      <c r="DX291" s="99"/>
      <c r="DY291" s="99"/>
      <c r="DZ291" s="99"/>
      <c r="EA291" s="99"/>
      <c r="EB291" s="99"/>
      <c r="EC291" s="99"/>
      <c r="ED291" s="99"/>
      <c r="EE291" s="99"/>
      <c r="EF291" s="99"/>
      <c r="EG291" s="99"/>
      <c r="EH291" s="99"/>
      <c r="EI291" s="99"/>
      <c r="EJ291" s="99"/>
      <c r="EK291" s="99"/>
      <c r="EL291" s="99"/>
      <c r="EM291" s="99"/>
      <c r="EN291" s="99"/>
      <c r="EO291" s="99"/>
      <c r="EP291" s="99"/>
      <c r="EQ291" s="99"/>
      <c r="ER291" s="99"/>
      <c r="ES291" s="99"/>
      <c r="ET291" s="99"/>
      <c r="EU291" s="99"/>
      <c r="EV291" s="99"/>
      <c r="EW291" s="99"/>
      <c r="EX291" s="99"/>
      <c r="EY291" s="99"/>
      <c r="EZ291" s="99"/>
      <c r="FA291" s="99"/>
      <c r="FB291" s="99"/>
      <c r="FC291" s="99"/>
      <c r="FD291" s="99"/>
      <c r="FE291" s="99"/>
      <c r="FF291" s="99"/>
      <c r="FG291" s="99"/>
      <c r="FH291" s="99"/>
      <c r="FI291" s="99"/>
      <c r="FJ291" s="99"/>
      <c r="FK291" s="99"/>
      <c r="FL291" s="99"/>
      <c r="FM291" s="99"/>
      <c r="FN291" s="99"/>
      <c r="FO291" s="99"/>
      <c r="FP291" s="99"/>
      <c r="FQ291" s="99"/>
      <c r="FR291" s="99"/>
      <c r="FS291" s="99"/>
      <c r="FT291" s="99"/>
      <c r="FU291" s="99"/>
    </row>
    <row r="292" spans="10:177" s="1" customFormat="1" ht="15.75"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  <c r="CZ292" s="99"/>
      <c r="DA292" s="99"/>
      <c r="DB292" s="99"/>
      <c r="DC292" s="99"/>
      <c r="DD292" s="99"/>
      <c r="DE292" s="99"/>
      <c r="DF292" s="99"/>
      <c r="DG292" s="99"/>
      <c r="DH292" s="99"/>
      <c r="DI292" s="99"/>
      <c r="DJ292" s="99"/>
      <c r="DK292" s="99"/>
      <c r="DL292" s="99"/>
      <c r="DM292" s="99"/>
      <c r="DN292" s="99"/>
      <c r="DO292" s="99"/>
      <c r="DP292" s="99"/>
      <c r="DQ292" s="99"/>
      <c r="DR292" s="99"/>
      <c r="DS292" s="99"/>
      <c r="DT292" s="99"/>
      <c r="DU292" s="99"/>
      <c r="DV292" s="99"/>
      <c r="DW292" s="99"/>
      <c r="DX292" s="99"/>
      <c r="DY292" s="99"/>
      <c r="DZ292" s="99"/>
      <c r="EA292" s="99"/>
      <c r="EB292" s="99"/>
      <c r="EC292" s="99"/>
      <c r="ED292" s="99"/>
      <c r="EE292" s="99"/>
      <c r="EF292" s="99"/>
      <c r="EG292" s="99"/>
      <c r="EH292" s="99"/>
      <c r="EI292" s="99"/>
      <c r="EJ292" s="99"/>
      <c r="EK292" s="99"/>
      <c r="EL292" s="99"/>
      <c r="EM292" s="99"/>
      <c r="EN292" s="99"/>
      <c r="EO292" s="99"/>
      <c r="EP292" s="99"/>
      <c r="EQ292" s="99"/>
      <c r="ER292" s="99"/>
      <c r="ES292" s="99"/>
      <c r="ET292" s="99"/>
      <c r="EU292" s="99"/>
      <c r="EV292" s="99"/>
      <c r="EW292" s="99"/>
      <c r="EX292" s="99"/>
      <c r="EY292" s="99"/>
      <c r="EZ292" s="99"/>
      <c r="FA292" s="99"/>
      <c r="FB292" s="99"/>
      <c r="FC292" s="99"/>
      <c r="FD292" s="99"/>
      <c r="FE292" s="99"/>
      <c r="FF292" s="99"/>
      <c r="FG292" s="99"/>
      <c r="FH292" s="99"/>
      <c r="FI292" s="99"/>
      <c r="FJ292" s="99"/>
      <c r="FK292" s="99"/>
      <c r="FL292" s="99"/>
      <c r="FM292" s="99"/>
      <c r="FN292" s="99"/>
      <c r="FO292" s="99"/>
      <c r="FP292" s="99"/>
      <c r="FQ292" s="99"/>
      <c r="FR292" s="99"/>
      <c r="FS292" s="99"/>
      <c r="FT292" s="99"/>
      <c r="FU292" s="99"/>
    </row>
    <row r="293" spans="10:177" s="1" customFormat="1" ht="15.75"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  <c r="CZ293" s="99"/>
      <c r="DA293" s="99"/>
      <c r="DB293" s="99"/>
      <c r="DC293" s="99"/>
      <c r="DD293" s="99"/>
      <c r="DE293" s="99"/>
      <c r="DF293" s="99"/>
      <c r="DG293" s="99"/>
      <c r="DH293" s="99"/>
      <c r="DI293" s="99"/>
      <c r="DJ293" s="99"/>
      <c r="DK293" s="99"/>
      <c r="DL293" s="99"/>
      <c r="DM293" s="99"/>
      <c r="DN293" s="99"/>
      <c r="DO293" s="99"/>
      <c r="DP293" s="99"/>
      <c r="DQ293" s="99"/>
      <c r="DR293" s="99"/>
      <c r="DS293" s="99"/>
      <c r="DT293" s="99"/>
      <c r="DU293" s="99"/>
      <c r="DV293" s="99"/>
      <c r="DW293" s="99"/>
      <c r="DX293" s="99"/>
      <c r="DY293" s="99"/>
      <c r="DZ293" s="99"/>
      <c r="EA293" s="99"/>
      <c r="EB293" s="99"/>
      <c r="EC293" s="99"/>
      <c r="ED293" s="99"/>
      <c r="EE293" s="99"/>
      <c r="EF293" s="99"/>
      <c r="EG293" s="99"/>
      <c r="EH293" s="99"/>
      <c r="EI293" s="99"/>
      <c r="EJ293" s="99"/>
      <c r="EK293" s="99"/>
      <c r="EL293" s="99"/>
      <c r="EM293" s="99"/>
      <c r="EN293" s="99"/>
      <c r="EO293" s="99"/>
      <c r="EP293" s="99"/>
      <c r="EQ293" s="99"/>
      <c r="ER293" s="99"/>
      <c r="ES293" s="99"/>
      <c r="ET293" s="99"/>
      <c r="EU293" s="99"/>
      <c r="EV293" s="99"/>
      <c r="EW293" s="99"/>
      <c r="EX293" s="99"/>
      <c r="EY293" s="99"/>
      <c r="EZ293" s="99"/>
      <c r="FA293" s="99"/>
      <c r="FB293" s="99"/>
      <c r="FC293" s="99"/>
      <c r="FD293" s="99"/>
      <c r="FE293" s="99"/>
      <c r="FF293" s="99"/>
      <c r="FG293" s="99"/>
      <c r="FH293" s="99"/>
      <c r="FI293" s="99"/>
      <c r="FJ293" s="99"/>
      <c r="FK293" s="99"/>
      <c r="FL293" s="99"/>
      <c r="FM293" s="99"/>
      <c r="FN293" s="99"/>
      <c r="FO293" s="99"/>
      <c r="FP293" s="99"/>
      <c r="FQ293" s="99"/>
      <c r="FR293" s="99"/>
      <c r="FS293" s="99"/>
      <c r="FT293" s="99"/>
      <c r="FU293" s="99"/>
    </row>
    <row r="294" spans="10:177" s="1" customFormat="1" ht="15.75"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  <c r="CW294" s="99"/>
      <c r="CX294" s="99"/>
      <c r="CY294" s="99"/>
      <c r="CZ294" s="99"/>
      <c r="DA294" s="99"/>
      <c r="DB294" s="99"/>
      <c r="DC294" s="99"/>
      <c r="DD294" s="99"/>
      <c r="DE294" s="99"/>
      <c r="DF294" s="99"/>
      <c r="DG294" s="99"/>
      <c r="DH294" s="99"/>
      <c r="DI294" s="99"/>
      <c r="DJ294" s="99"/>
      <c r="DK294" s="99"/>
      <c r="DL294" s="99"/>
      <c r="DM294" s="99"/>
      <c r="DN294" s="99"/>
      <c r="DO294" s="99"/>
      <c r="DP294" s="99"/>
      <c r="DQ294" s="99"/>
      <c r="DR294" s="99"/>
      <c r="DS294" s="99"/>
      <c r="DT294" s="99"/>
      <c r="DU294" s="99"/>
      <c r="DV294" s="99"/>
      <c r="DW294" s="99"/>
      <c r="DX294" s="99"/>
      <c r="DY294" s="99"/>
      <c r="DZ294" s="99"/>
      <c r="EA294" s="99"/>
      <c r="EB294" s="99"/>
      <c r="EC294" s="99"/>
      <c r="ED294" s="99"/>
      <c r="EE294" s="99"/>
      <c r="EF294" s="99"/>
      <c r="EG294" s="99"/>
      <c r="EH294" s="99"/>
      <c r="EI294" s="99"/>
      <c r="EJ294" s="99"/>
      <c r="EK294" s="99"/>
      <c r="EL294" s="99"/>
      <c r="EM294" s="99"/>
      <c r="EN294" s="99"/>
      <c r="EO294" s="99"/>
      <c r="EP294" s="99"/>
      <c r="EQ294" s="99"/>
      <c r="ER294" s="99"/>
      <c r="ES294" s="99"/>
      <c r="ET294" s="99"/>
      <c r="EU294" s="99"/>
      <c r="EV294" s="99"/>
      <c r="EW294" s="99"/>
      <c r="EX294" s="99"/>
      <c r="EY294" s="99"/>
      <c r="EZ294" s="99"/>
      <c r="FA294" s="99"/>
      <c r="FB294" s="99"/>
      <c r="FC294" s="99"/>
      <c r="FD294" s="99"/>
      <c r="FE294" s="99"/>
      <c r="FF294" s="99"/>
      <c r="FG294" s="99"/>
      <c r="FH294" s="99"/>
      <c r="FI294" s="99"/>
      <c r="FJ294" s="99"/>
      <c r="FK294" s="99"/>
      <c r="FL294" s="99"/>
      <c r="FM294" s="99"/>
      <c r="FN294" s="99"/>
      <c r="FO294" s="99"/>
      <c r="FP294" s="99"/>
      <c r="FQ294" s="99"/>
      <c r="FR294" s="99"/>
      <c r="FS294" s="99"/>
      <c r="FT294" s="99"/>
      <c r="FU294" s="99"/>
    </row>
    <row r="295" spans="10:177" s="1" customFormat="1" ht="15.75"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  <c r="CW295" s="99"/>
      <c r="CX295" s="99"/>
      <c r="CY295" s="99"/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99"/>
      <c r="DL295" s="99"/>
      <c r="DM295" s="99"/>
      <c r="DN295" s="99"/>
      <c r="DO295" s="99"/>
      <c r="DP295" s="99"/>
      <c r="DQ295" s="99"/>
      <c r="DR295" s="99"/>
      <c r="DS295" s="99"/>
      <c r="DT295" s="99"/>
      <c r="DU295" s="99"/>
      <c r="DV295" s="99"/>
      <c r="DW295" s="99"/>
      <c r="DX295" s="99"/>
      <c r="DY295" s="99"/>
      <c r="DZ295" s="99"/>
      <c r="EA295" s="99"/>
      <c r="EB295" s="99"/>
      <c r="EC295" s="99"/>
      <c r="ED295" s="99"/>
      <c r="EE295" s="99"/>
      <c r="EF295" s="99"/>
      <c r="EG295" s="99"/>
      <c r="EH295" s="99"/>
      <c r="EI295" s="99"/>
      <c r="EJ295" s="99"/>
      <c r="EK295" s="99"/>
      <c r="EL295" s="99"/>
      <c r="EM295" s="99"/>
      <c r="EN295" s="99"/>
      <c r="EO295" s="99"/>
      <c r="EP295" s="99"/>
      <c r="EQ295" s="99"/>
      <c r="ER295" s="99"/>
      <c r="ES295" s="99"/>
      <c r="ET295" s="99"/>
      <c r="EU295" s="99"/>
      <c r="EV295" s="99"/>
      <c r="EW295" s="99"/>
      <c r="EX295" s="99"/>
      <c r="EY295" s="99"/>
      <c r="EZ295" s="99"/>
      <c r="FA295" s="99"/>
      <c r="FB295" s="99"/>
      <c r="FC295" s="99"/>
      <c r="FD295" s="99"/>
      <c r="FE295" s="99"/>
      <c r="FF295" s="99"/>
      <c r="FG295" s="99"/>
      <c r="FH295" s="99"/>
      <c r="FI295" s="99"/>
      <c r="FJ295" s="99"/>
      <c r="FK295" s="99"/>
      <c r="FL295" s="99"/>
      <c r="FM295" s="99"/>
      <c r="FN295" s="99"/>
      <c r="FO295" s="99"/>
      <c r="FP295" s="99"/>
      <c r="FQ295" s="99"/>
      <c r="FR295" s="99"/>
      <c r="FS295" s="99"/>
      <c r="FT295" s="99"/>
      <c r="FU295" s="99"/>
    </row>
    <row r="296" spans="10:177" s="1" customFormat="1" ht="15.75"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  <c r="CW296" s="99"/>
      <c r="CX296" s="99"/>
      <c r="CY296" s="99"/>
      <c r="CZ296" s="99"/>
      <c r="DA296" s="99"/>
      <c r="DB296" s="99"/>
      <c r="DC296" s="99"/>
      <c r="DD296" s="99"/>
      <c r="DE296" s="99"/>
      <c r="DF296" s="99"/>
      <c r="DG296" s="99"/>
      <c r="DH296" s="99"/>
      <c r="DI296" s="99"/>
      <c r="DJ296" s="99"/>
      <c r="DK296" s="99"/>
      <c r="DL296" s="99"/>
      <c r="DM296" s="99"/>
      <c r="DN296" s="99"/>
      <c r="DO296" s="99"/>
      <c r="DP296" s="99"/>
      <c r="DQ296" s="99"/>
      <c r="DR296" s="99"/>
      <c r="DS296" s="99"/>
      <c r="DT296" s="99"/>
      <c r="DU296" s="99"/>
      <c r="DV296" s="99"/>
      <c r="DW296" s="99"/>
      <c r="DX296" s="99"/>
      <c r="DY296" s="99"/>
      <c r="DZ296" s="99"/>
      <c r="EA296" s="99"/>
      <c r="EB296" s="99"/>
      <c r="EC296" s="99"/>
      <c r="ED296" s="99"/>
      <c r="EE296" s="99"/>
      <c r="EF296" s="99"/>
      <c r="EG296" s="99"/>
      <c r="EH296" s="99"/>
      <c r="EI296" s="99"/>
      <c r="EJ296" s="99"/>
      <c r="EK296" s="99"/>
      <c r="EL296" s="99"/>
      <c r="EM296" s="99"/>
      <c r="EN296" s="99"/>
      <c r="EO296" s="99"/>
      <c r="EP296" s="99"/>
      <c r="EQ296" s="99"/>
      <c r="ER296" s="99"/>
      <c r="ES296" s="99"/>
      <c r="ET296" s="99"/>
      <c r="EU296" s="99"/>
      <c r="EV296" s="99"/>
      <c r="EW296" s="99"/>
      <c r="EX296" s="99"/>
      <c r="EY296" s="99"/>
      <c r="EZ296" s="99"/>
      <c r="FA296" s="99"/>
      <c r="FB296" s="99"/>
      <c r="FC296" s="99"/>
      <c r="FD296" s="99"/>
      <c r="FE296" s="99"/>
      <c r="FF296" s="99"/>
      <c r="FG296" s="99"/>
      <c r="FH296" s="99"/>
      <c r="FI296" s="99"/>
      <c r="FJ296" s="99"/>
      <c r="FK296" s="99"/>
      <c r="FL296" s="99"/>
      <c r="FM296" s="99"/>
      <c r="FN296" s="99"/>
      <c r="FO296" s="99"/>
      <c r="FP296" s="99"/>
      <c r="FQ296" s="99"/>
      <c r="FR296" s="99"/>
      <c r="FS296" s="99"/>
      <c r="FT296" s="99"/>
      <c r="FU296" s="99"/>
    </row>
    <row r="297" spans="10:177" s="1" customFormat="1" ht="15.75"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  <c r="CW297" s="99"/>
      <c r="CX297" s="99"/>
      <c r="CY297" s="99"/>
      <c r="CZ297" s="99"/>
      <c r="DA297" s="99"/>
      <c r="DB297" s="99"/>
      <c r="DC297" s="99"/>
      <c r="DD297" s="99"/>
      <c r="DE297" s="99"/>
      <c r="DF297" s="99"/>
      <c r="DG297" s="99"/>
      <c r="DH297" s="99"/>
      <c r="DI297" s="99"/>
      <c r="DJ297" s="99"/>
      <c r="DK297" s="99"/>
      <c r="DL297" s="99"/>
      <c r="DM297" s="99"/>
      <c r="DN297" s="99"/>
      <c r="DO297" s="99"/>
      <c r="DP297" s="99"/>
      <c r="DQ297" s="99"/>
      <c r="DR297" s="99"/>
      <c r="DS297" s="99"/>
      <c r="DT297" s="99"/>
      <c r="DU297" s="99"/>
      <c r="DV297" s="99"/>
      <c r="DW297" s="99"/>
      <c r="DX297" s="99"/>
      <c r="DY297" s="99"/>
      <c r="DZ297" s="99"/>
      <c r="EA297" s="99"/>
      <c r="EB297" s="99"/>
      <c r="EC297" s="99"/>
      <c r="ED297" s="99"/>
      <c r="EE297" s="99"/>
      <c r="EF297" s="99"/>
      <c r="EG297" s="99"/>
      <c r="EH297" s="99"/>
      <c r="EI297" s="99"/>
      <c r="EJ297" s="99"/>
      <c r="EK297" s="99"/>
      <c r="EL297" s="99"/>
      <c r="EM297" s="99"/>
      <c r="EN297" s="99"/>
      <c r="EO297" s="99"/>
      <c r="EP297" s="99"/>
      <c r="EQ297" s="99"/>
      <c r="ER297" s="99"/>
      <c r="ES297" s="99"/>
      <c r="ET297" s="99"/>
      <c r="EU297" s="99"/>
      <c r="EV297" s="99"/>
      <c r="EW297" s="99"/>
      <c r="EX297" s="99"/>
      <c r="EY297" s="99"/>
      <c r="EZ297" s="99"/>
      <c r="FA297" s="99"/>
      <c r="FB297" s="99"/>
      <c r="FC297" s="99"/>
      <c r="FD297" s="99"/>
      <c r="FE297" s="99"/>
      <c r="FF297" s="99"/>
      <c r="FG297" s="99"/>
      <c r="FH297" s="99"/>
      <c r="FI297" s="99"/>
      <c r="FJ297" s="99"/>
      <c r="FK297" s="99"/>
      <c r="FL297" s="99"/>
      <c r="FM297" s="99"/>
      <c r="FN297" s="99"/>
      <c r="FO297" s="99"/>
      <c r="FP297" s="99"/>
      <c r="FQ297" s="99"/>
      <c r="FR297" s="99"/>
      <c r="FS297" s="99"/>
      <c r="FT297" s="99"/>
      <c r="FU297" s="99"/>
    </row>
    <row r="298" spans="10:177" s="1" customFormat="1" ht="15.75"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99"/>
      <c r="CX298" s="99"/>
      <c r="CY298" s="99"/>
      <c r="CZ298" s="99"/>
      <c r="DA298" s="99"/>
      <c r="DB298" s="99"/>
      <c r="DC298" s="99"/>
      <c r="DD298" s="99"/>
      <c r="DE298" s="99"/>
      <c r="DF298" s="99"/>
      <c r="DG298" s="99"/>
      <c r="DH298" s="99"/>
      <c r="DI298" s="99"/>
      <c r="DJ298" s="99"/>
      <c r="DK298" s="99"/>
      <c r="DL298" s="99"/>
      <c r="DM298" s="99"/>
      <c r="DN298" s="99"/>
      <c r="DO298" s="99"/>
      <c r="DP298" s="99"/>
      <c r="DQ298" s="99"/>
      <c r="DR298" s="99"/>
      <c r="DS298" s="99"/>
      <c r="DT298" s="99"/>
      <c r="DU298" s="99"/>
      <c r="DV298" s="99"/>
      <c r="DW298" s="99"/>
      <c r="DX298" s="99"/>
      <c r="DY298" s="99"/>
      <c r="DZ298" s="99"/>
      <c r="EA298" s="99"/>
      <c r="EB298" s="99"/>
      <c r="EC298" s="99"/>
      <c r="ED298" s="99"/>
      <c r="EE298" s="99"/>
      <c r="EF298" s="99"/>
      <c r="EG298" s="99"/>
      <c r="EH298" s="99"/>
      <c r="EI298" s="99"/>
      <c r="EJ298" s="99"/>
      <c r="EK298" s="99"/>
      <c r="EL298" s="99"/>
      <c r="EM298" s="99"/>
      <c r="EN298" s="99"/>
      <c r="EO298" s="99"/>
      <c r="EP298" s="99"/>
      <c r="EQ298" s="99"/>
      <c r="ER298" s="99"/>
      <c r="ES298" s="99"/>
      <c r="ET298" s="99"/>
      <c r="EU298" s="99"/>
      <c r="EV298" s="99"/>
      <c r="EW298" s="99"/>
      <c r="EX298" s="99"/>
      <c r="EY298" s="99"/>
      <c r="EZ298" s="99"/>
      <c r="FA298" s="99"/>
      <c r="FB298" s="99"/>
      <c r="FC298" s="99"/>
      <c r="FD298" s="99"/>
      <c r="FE298" s="99"/>
      <c r="FF298" s="99"/>
      <c r="FG298" s="99"/>
      <c r="FH298" s="99"/>
      <c r="FI298" s="99"/>
      <c r="FJ298" s="99"/>
      <c r="FK298" s="99"/>
      <c r="FL298" s="99"/>
      <c r="FM298" s="99"/>
      <c r="FN298" s="99"/>
      <c r="FO298" s="99"/>
      <c r="FP298" s="99"/>
      <c r="FQ298" s="99"/>
      <c r="FR298" s="99"/>
      <c r="FS298" s="99"/>
      <c r="FT298" s="99"/>
      <c r="FU298" s="99"/>
    </row>
    <row r="299" spans="10:177" s="1" customFormat="1" ht="15.75"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99"/>
      <c r="DL299" s="99"/>
      <c r="DM299" s="99"/>
      <c r="DN299" s="99"/>
      <c r="DO299" s="99"/>
      <c r="DP299" s="99"/>
      <c r="DQ299" s="99"/>
      <c r="DR299" s="99"/>
      <c r="DS299" s="99"/>
      <c r="DT299" s="99"/>
      <c r="DU299" s="99"/>
      <c r="DV299" s="99"/>
      <c r="DW299" s="99"/>
      <c r="DX299" s="99"/>
      <c r="DY299" s="99"/>
      <c r="DZ299" s="99"/>
      <c r="EA299" s="99"/>
      <c r="EB299" s="99"/>
      <c r="EC299" s="99"/>
      <c r="ED299" s="99"/>
      <c r="EE299" s="99"/>
      <c r="EF299" s="99"/>
      <c r="EG299" s="99"/>
      <c r="EH299" s="99"/>
      <c r="EI299" s="99"/>
      <c r="EJ299" s="99"/>
      <c r="EK299" s="99"/>
      <c r="EL299" s="99"/>
      <c r="EM299" s="99"/>
      <c r="EN299" s="99"/>
      <c r="EO299" s="99"/>
      <c r="EP299" s="99"/>
      <c r="EQ299" s="99"/>
      <c r="ER299" s="99"/>
      <c r="ES299" s="99"/>
      <c r="ET299" s="99"/>
      <c r="EU299" s="99"/>
      <c r="EV299" s="99"/>
      <c r="EW299" s="99"/>
      <c r="EX299" s="99"/>
      <c r="EY299" s="99"/>
      <c r="EZ299" s="99"/>
      <c r="FA299" s="99"/>
      <c r="FB299" s="99"/>
      <c r="FC299" s="99"/>
      <c r="FD299" s="99"/>
      <c r="FE299" s="99"/>
      <c r="FF299" s="99"/>
      <c r="FG299" s="99"/>
      <c r="FH299" s="99"/>
      <c r="FI299" s="99"/>
      <c r="FJ299" s="99"/>
      <c r="FK299" s="99"/>
      <c r="FL299" s="99"/>
      <c r="FM299" s="99"/>
      <c r="FN299" s="99"/>
      <c r="FO299" s="99"/>
      <c r="FP299" s="99"/>
      <c r="FQ299" s="99"/>
      <c r="FR299" s="99"/>
      <c r="FS299" s="99"/>
      <c r="FT299" s="99"/>
      <c r="FU299" s="99"/>
    </row>
  </sheetData>
  <sheetProtection/>
  <mergeCells count="6">
    <mergeCell ref="A1:I1"/>
    <mergeCell ref="A2:I2"/>
    <mergeCell ref="A3:I3"/>
    <mergeCell ref="A109:I109"/>
    <mergeCell ref="A108:I108"/>
    <mergeCell ref="A107:I107"/>
  </mergeCells>
  <printOptions/>
  <pageMargins left="0.787401575" right="0.787401575" top="0.984251969" bottom="0.984251969" header="0.492125985" footer="0.492125985"/>
  <pageSetup horizontalDpi="300" verticalDpi="300" orientation="portrait" scale="34" r:id="rId1"/>
  <rowBreaks count="2" manualBreakCount="2">
    <brk id="105" max="38" man="1"/>
    <brk id="109" max="255" man="1"/>
  </rowBreaks>
  <colBreaks count="1" manualBreakCount="1">
    <brk id="3" max="15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6" sqref="M46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0.140625" style="0" customWidth="1"/>
    <col min="2" max="2" width="14.8515625" style="0" customWidth="1"/>
    <col min="3" max="3" width="16.57421875" style="0" customWidth="1"/>
    <col min="4" max="4" width="17.8515625" style="0" customWidth="1"/>
    <col min="5" max="5" width="16.28125" style="0" customWidth="1"/>
    <col min="6" max="6" width="15.28125" style="0" customWidth="1"/>
  </cols>
  <sheetData>
    <row r="1" spans="1:6" ht="12.75">
      <c r="A1" s="496" t="str">
        <f>Parâmetros!A7</f>
        <v>Município de Barra do Quaraí</v>
      </c>
      <c r="B1" s="496"/>
      <c r="C1" s="496"/>
      <c r="D1" s="497"/>
      <c r="E1" s="497"/>
      <c r="F1" s="497"/>
    </row>
    <row r="2" spans="1:6" ht="12.75">
      <c r="A2" s="498" t="str">
        <f>Parâmetros!A8</f>
        <v>LEI DE DIRETRIZES ORÇAMENTÁRIAS  PARA 2019</v>
      </c>
      <c r="B2" s="498"/>
      <c r="C2" s="498"/>
      <c r="D2" s="497"/>
      <c r="E2" s="497"/>
      <c r="F2" s="497"/>
    </row>
    <row r="3" spans="1:6" ht="12.75">
      <c r="A3" s="499" t="s">
        <v>405</v>
      </c>
      <c r="B3" s="499"/>
      <c r="C3" s="499"/>
      <c r="D3" s="499"/>
      <c r="E3" s="499"/>
      <c r="F3" s="499"/>
    </row>
    <row r="4" spans="1:6" ht="12.75">
      <c r="A4" s="500" t="s">
        <v>612</v>
      </c>
      <c r="B4" s="501"/>
      <c r="C4" s="501"/>
      <c r="D4" s="501"/>
      <c r="E4" s="501"/>
      <c r="F4" s="501"/>
    </row>
    <row r="5" spans="1:6" ht="12.75">
      <c r="A5" s="114" t="s">
        <v>56</v>
      </c>
      <c r="B5" s="115">
        <v>2017</v>
      </c>
      <c r="C5" s="115">
        <f>B5+1</f>
        <v>2018</v>
      </c>
      <c r="D5" s="115">
        <f>C5+1</f>
        <v>2019</v>
      </c>
      <c r="E5" s="115">
        <f>D5+1</f>
        <v>2020</v>
      </c>
      <c r="F5" s="115">
        <f>E5+1</f>
        <v>2021</v>
      </c>
    </row>
    <row r="6" spans="1:6" ht="12.75">
      <c r="A6" s="116" t="s">
        <v>406</v>
      </c>
      <c r="B6" s="117">
        <f>Projeções!E8</f>
        <v>22604625.620000005</v>
      </c>
      <c r="C6" s="117">
        <f>Projeções!F8</f>
        <v>24433104.37</v>
      </c>
      <c r="D6" s="117">
        <f>Projeções!G8</f>
        <v>26612923.217900816</v>
      </c>
      <c r="E6" s="117">
        <f>Projeções!H8</f>
        <v>29305904.906084433</v>
      </c>
      <c r="F6" s="117">
        <f>Projeções!I8</f>
        <v>32380728.174172025</v>
      </c>
    </row>
    <row r="7" spans="1:6" ht="12.75">
      <c r="A7" s="118" t="s">
        <v>399</v>
      </c>
      <c r="B7" s="119">
        <f>B8+B9+B10+B11+B12</f>
        <v>3131771.674</v>
      </c>
      <c r="C7" s="119">
        <f>C8+C9+C10+C11+C12</f>
        <v>3352406.9700000007</v>
      </c>
      <c r="D7" s="119">
        <f>D8+D9+D10+D11+D12</f>
        <v>3663575.6042669117</v>
      </c>
      <c r="E7" s="119">
        <f>E8+E9+E10+E11+E12</f>
        <v>3963876.894358928</v>
      </c>
      <c r="F7" s="119">
        <f>F8+F9+F10+F11+F12</f>
        <v>4305848.336892759</v>
      </c>
    </row>
    <row r="8" spans="1:6" ht="12.75">
      <c r="A8" s="120" t="s">
        <v>400</v>
      </c>
      <c r="B8" s="121">
        <f>Projeções!E10+Projeções!E11</f>
        <v>0</v>
      </c>
      <c r="C8" s="121">
        <f>Projeções!F10+Projeções!F11</f>
        <v>0</v>
      </c>
      <c r="D8" s="121">
        <f>Projeções!G10+Projeções!G11</f>
        <v>0</v>
      </c>
      <c r="E8" s="121">
        <f>Projeções!H10+Projeções!H11</f>
        <v>0</v>
      </c>
      <c r="F8" s="121">
        <f>Projeções!I10+Projeções!I11</f>
        <v>0</v>
      </c>
    </row>
    <row r="9" spans="1:6" ht="12.75">
      <c r="A9" s="122" t="s">
        <v>401</v>
      </c>
      <c r="B9" s="123">
        <f>Projeções!E17</f>
        <v>0</v>
      </c>
      <c r="C9" s="123">
        <f>Projeções!F17</f>
        <v>0</v>
      </c>
      <c r="D9" s="123">
        <f>Projeções!G17</f>
        <v>0</v>
      </c>
      <c r="E9" s="123">
        <f>Projeções!H17</f>
        <v>0</v>
      </c>
      <c r="F9" s="123">
        <f>Projeções!I17</f>
        <v>0</v>
      </c>
    </row>
    <row r="10" spans="1:6" ht="12.75">
      <c r="A10" s="124" t="s">
        <v>402</v>
      </c>
      <c r="B10" s="123">
        <f>Projeções!E72</f>
        <v>0</v>
      </c>
      <c r="C10" s="123">
        <f>Projeções!F72</f>
        <v>0</v>
      </c>
      <c r="D10" s="123">
        <f>Projeções!G72</f>
        <v>0</v>
      </c>
      <c r="E10" s="123">
        <f>Projeções!H72</f>
        <v>0</v>
      </c>
      <c r="F10" s="123">
        <f>Projeções!I72</f>
        <v>0</v>
      </c>
    </row>
    <row r="11" spans="1:6" ht="12.75">
      <c r="A11" s="124" t="s">
        <v>415</v>
      </c>
      <c r="B11" s="123">
        <f>Projeções!E28</f>
        <v>0</v>
      </c>
      <c r="C11" s="123">
        <f>Projeções!F28</f>
        <v>0</v>
      </c>
      <c r="D11" s="123">
        <f>Projeções!G28</f>
        <v>0</v>
      </c>
      <c r="E11" s="123">
        <f>Projeções!H28</f>
        <v>0</v>
      </c>
      <c r="F11" s="123">
        <f>Projeções!I28</f>
        <v>0</v>
      </c>
    </row>
    <row r="12" spans="1:6" ht="12.75">
      <c r="A12" s="122" t="s">
        <v>412</v>
      </c>
      <c r="B12" s="123">
        <f>-(Projeções!E100+Projeções!E101+Projeções!E102)</f>
        <v>3131771.674</v>
      </c>
      <c r="C12" s="123">
        <f>-(Projeções!F100+Projeções!F101+Projeções!F102)</f>
        <v>3352406.9700000007</v>
      </c>
      <c r="D12" s="123">
        <f>-(Projeções!G100+Projeções!G101+Projeções!G102)</f>
        <v>3663575.6042669117</v>
      </c>
      <c r="E12" s="123">
        <f>-(Projeções!H100+Projeções!H101+Projeções!H102)</f>
        <v>3963876.894358928</v>
      </c>
      <c r="F12" s="123">
        <f>-(Projeções!I100+Projeções!I101+Projeções!I102)</f>
        <v>4305848.336892759</v>
      </c>
    </row>
    <row r="13" spans="1:6" ht="12.75">
      <c r="A13" s="118" t="s">
        <v>403</v>
      </c>
      <c r="B13" s="119">
        <f>-(IF(Projeções!E63+Projeções!E101&gt;0,0,Projeções!E63+Projeções!E101))</f>
        <v>54047.924000000115</v>
      </c>
      <c r="C13" s="119">
        <f>-(IF(Projeções!F63+Projeções!F101&gt;0,0,Projeções!F63+Projeções!F101))</f>
        <v>61236.770000000484</v>
      </c>
      <c r="D13" s="119">
        <f>-(IF(Projeções!G63+Projeções!G101&gt;0,0,Projeções!G63+Projeções!G101))</f>
        <v>153145.27178429766</v>
      </c>
      <c r="E13" s="119">
        <f>-(IF(Projeções!H63+Projeções!H101&gt;0,0,Projeções!H63+Projeções!H101))</f>
        <v>126393.41947242385</v>
      </c>
      <c r="F13" s="119">
        <f>-(IF(Projeções!I63+Projeções!I101&gt;0,0,Projeções!I63+Projeções!I101))</f>
        <v>93358.8703894671</v>
      </c>
    </row>
    <row r="14" spans="1:6" ht="12.75">
      <c r="A14" s="116" t="s">
        <v>404</v>
      </c>
      <c r="B14" s="117">
        <f>B6-B7+B13</f>
        <v>19526901.870000005</v>
      </c>
      <c r="C14" s="117">
        <f>C6-C7+C13</f>
        <v>21141934.169999998</v>
      </c>
      <c r="D14" s="117">
        <f>D6-D7+D13</f>
        <v>23102492.885418203</v>
      </c>
      <c r="E14" s="117">
        <f>E6-E7+E13</f>
        <v>25468421.431197926</v>
      </c>
      <c r="F14" s="117">
        <f>F6-F7+F13</f>
        <v>28168238.707668737</v>
      </c>
    </row>
    <row r="16" ht="12.75">
      <c r="A16" s="170"/>
    </row>
    <row r="19" ht="12.75">
      <c r="B19" s="182"/>
    </row>
  </sheetData>
  <sheetProtection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7.7109375" style="0" customWidth="1"/>
    <col min="4" max="4" width="19.7109375" style="0" customWidth="1"/>
  </cols>
  <sheetData>
    <row r="1" spans="1:4" ht="12.75">
      <c r="A1" s="505" t="str">
        <f>Parâmetros!A7</f>
        <v>Município de Barra do Quaraí</v>
      </c>
      <c r="B1" s="506"/>
      <c r="C1" s="506"/>
      <c r="D1" s="506"/>
    </row>
    <row r="2" spans="1:4" ht="12.75">
      <c r="A2" s="507" t="s">
        <v>613</v>
      </c>
      <c r="B2" s="507"/>
      <c r="C2" s="507"/>
      <c r="D2" s="507"/>
    </row>
    <row r="3" spans="1:4" ht="13.5">
      <c r="A3" s="508" t="s">
        <v>487</v>
      </c>
      <c r="B3" s="509"/>
      <c r="C3" s="509"/>
      <c r="D3" s="509"/>
    </row>
    <row r="4" spans="1:4" ht="15">
      <c r="A4" s="163"/>
      <c r="B4" s="162"/>
      <c r="C4" s="162"/>
      <c r="D4" s="162"/>
    </row>
    <row r="5" spans="1:4" ht="12.75">
      <c r="A5" s="502" t="s">
        <v>491</v>
      </c>
      <c r="B5" s="504"/>
      <c r="C5" s="504"/>
      <c r="D5" s="504"/>
    </row>
    <row r="6" spans="1:4" ht="12.75">
      <c r="A6" s="503"/>
      <c r="B6" s="164">
        <f>Parâmetros!E10</f>
        <v>2019</v>
      </c>
      <c r="C6" s="164">
        <f>Parâmetros!F10</f>
        <v>2020</v>
      </c>
      <c r="D6" s="164">
        <f>Parâmetros!G10</f>
        <v>2021</v>
      </c>
    </row>
    <row r="7" spans="1:4" ht="12.75">
      <c r="A7" s="165" t="s">
        <v>488</v>
      </c>
      <c r="B7" s="169">
        <f>RCL!D14*0.54</f>
        <v>12475346.15812583</v>
      </c>
      <c r="C7" s="169">
        <f>RCL!E14*0.54</f>
        <v>13752947.572846882</v>
      </c>
      <c r="D7" s="169">
        <f>RCL!F14*0.54</f>
        <v>15210848.902141118</v>
      </c>
    </row>
    <row r="8" spans="1:4" ht="12.75">
      <c r="A8" s="166" t="s">
        <v>489</v>
      </c>
      <c r="B8" s="169">
        <f>RCL!D14*0.513</f>
        <v>11851578.850219538</v>
      </c>
      <c r="C8" s="169">
        <f>RCL!E14*0.513</f>
        <v>13065300.194204537</v>
      </c>
      <c r="D8" s="169">
        <f>RCL!F14*0.513</f>
        <v>14450306.457034063</v>
      </c>
    </row>
    <row r="9" spans="1:4" ht="12.75">
      <c r="A9" s="165" t="s">
        <v>490</v>
      </c>
      <c r="B9" s="169">
        <f>RCL!D14*0.486</f>
        <v>11227811.542313246</v>
      </c>
      <c r="C9" s="169">
        <f>RCL!E14*0.486</f>
        <v>12377652.815562192</v>
      </c>
      <c r="D9" s="169">
        <f>RCL!F14*0.486</f>
        <v>13689764.011927005</v>
      </c>
    </row>
    <row r="10" spans="1:4" ht="12.75">
      <c r="A10" s="510"/>
      <c r="B10" s="510"/>
      <c r="C10" s="510"/>
      <c r="D10" s="510"/>
    </row>
    <row r="11" spans="1:4" ht="12.75">
      <c r="A11" s="167"/>
      <c r="B11" s="168"/>
      <c r="C11" s="168"/>
      <c r="D11" s="168"/>
    </row>
    <row r="12" spans="1:4" ht="12.75">
      <c r="A12" s="167"/>
      <c r="B12" s="168"/>
      <c r="C12" s="168"/>
      <c r="D12" s="168"/>
    </row>
    <row r="13" spans="1:4" ht="12.75">
      <c r="A13" s="502" t="s">
        <v>492</v>
      </c>
      <c r="B13" s="504"/>
      <c r="C13" s="504"/>
      <c r="D13" s="504"/>
    </row>
    <row r="14" spans="1:4" ht="12.75">
      <c r="A14" s="503"/>
      <c r="B14" s="164">
        <f>Parâmetros!E10</f>
        <v>2019</v>
      </c>
      <c r="C14" s="164">
        <f>Parâmetros!F10</f>
        <v>2020</v>
      </c>
      <c r="D14" s="164">
        <f>Parâmetros!G10</f>
        <v>2021</v>
      </c>
    </row>
    <row r="15" spans="1:4" ht="12.75">
      <c r="A15" s="173" t="s">
        <v>493</v>
      </c>
      <c r="B15" s="171">
        <f>RCL!D14*0.06</f>
        <v>1386149.573125092</v>
      </c>
      <c r="C15" s="171">
        <f>RCL!E14*0.06</f>
        <v>1528105.2858718755</v>
      </c>
      <c r="D15" s="171">
        <f>RCL!F14*0.06</f>
        <v>1690094.322460124</v>
      </c>
    </row>
    <row r="16" spans="1:4" ht="12.75">
      <c r="A16" s="174" t="s">
        <v>494</v>
      </c>
      <c r="B16" s="169">
        <f>RCL!D14*0.057</f>
        <v>1316842.0944688376</v>
      </c>
      <c r="C16" s="169">
        <f>RCL!E14*0.057</f>
        <v>1451700.021578282</v>
      </c>
      <c r="D16" s="169">
        <f>RCL!F14*0.057</f>
        <v>1605589.606337118</v>
      </c>
    </row>
    <row r="17" spans="1:4" ht="12.75">
      <c r="A17" s="175" t="s">
        <v>495</v>
      </c>
      <c r="B17" s="172">
        <f>RCL!D14*0.054</f>
        <v>1247534.615812583</v>
      </c>
      <c r="C17" s="172">
        <f>RCL!E14*0.054</f>
        <v>1375294.757284688</v>
      </c>
      <c r="D17" s="172">
        <f>RCL!F14*0.054</f>
        <v>1521084.8902141117</v>
      </c>
    </row>
    <row r="20" spans="1:4" ht="12.75">
      <c r="A20" s="176"/>
      <c r="B20" s="183"/>
      <c r="C20" s="183"/>
      <c r="D20" s="183"/>
    </row>
    <row r="21" spans="1:4" ht="12.75">
      <c r="A21" s="183"/>
      <c r="B21" s="183"/>
      <c r="C21" s="183"/>
      <c r="D21" s="183"/>
    </row>
    <row r="22" spans="1:4" ht="12.75">
      <c r="A22" s="183"/>
      <c r="B22" s="183"/>
      <c r="C22" s="183"/>
      <c r="D22" s="183"/>
    </row>
    <row r="23" spans="1:4" ht="12.75">
      <c r="A23" s="183"/>
      <c r="B23" s="183"/>
      <c r="C23" s="183"/>
      <c r="D23" s="183"/>
    </row>
    <row r="24" spans="1:4" ht="12.75">
      <c r="A24" s="183"/>
      <c r="B24" s="183"/>
      <c r="C24" s="183"/>
      <c r="D24" s="183"/>
    </row>
    <row r="25" spans="1:4" ht="12.75">
      <c r="A25" s="183"/>
      <c r="B25" s="183"/>
      <c r="C25" s="183"/>
      <c r="D25" s="183"/>
    </row>
    <row r="26" spans="1:4" ht="12.75">
      <c r="A26" s="183"/>
      <c r="B26" s="183"/>
      <c r="C26" s="183"/>
      <c r="D26" s="183"/>
    </row>
    <row r="27" spans="1:4" ht="12.75">
      <c r="A27" s="183"/>
      <c r="B27" s="183"/>
      <c r="C27" s="183"/>
      <c r="D27" s="183"/>
    </row>
    <row r="28" spans="1:4" ht="12.75">
      <c r="A28" s="183"/>
      <c r="B28" s="183"/>
      <c r="C28" s="183"/>
      <c r="D28" s="183"/>
    </row>
    <row r="29" spans="1:4" ht="12.75">
      <c r="A29" s="183"/>
      <c r="B29" s="183"/>
      <c r="C29" s="183"/>
      <c r="D29" s="183"/>
    </row>
    <row r="30" spans="1:4" ht="12.75">
      <c r="A30" s="183"/>
      <c r="B30" s="183"/>
      <c r="C30" s="183"/>
      <c r="D30" s="183"/>
    </row>
    <row r="31" spans="1:4" ht="12.75">
      <c r="A31" s="183"/>
      <c r="B31" s="183"/>
      <c r="C31" s="183"/>
      <c r="D31" s="183"/>
    </row>
    <row r="32" spans="1:4" ht="12.75">
      <c r="A32" s="183"/>
      <c r="B32" s="183"/>
      <c r="C32" s="183"/>
      <c r="D32" s="183"/>
    </row>
    <row r="33" spans="1:4" ht="12.75">
      <c r="A33" s="183"/>
      <c r="B33" s="183"/>
      <c r="C33" s="183"/>
      <c r="D33" s="183"/>
    </row>
    <row r="34" spans="1:4" ht="12.75">
      <c r="A34" s="183"/>
      <c r="B34" s="183"/>
      <c r="C34" s="183"/>
      <c r="D34" s="183"/>
    </row>
    <row r="35" spans="1:4" ht="0.75" customHeight="1">
      <c r="A35" s="183"/>
      <c r="B35" s="183"/>
      <c r="C35" s="183"/>
      <c r="D35" s="183"/>
    </row>
    <row r="36" spans="1:4" ht="12.75" customHeight="1" hidden="1">
      <c r="A36" s="183"/>
      <c r="B36" s="183"/>
      <c r="C36" s="183"/>
      <c r="D36" s="183"/>
    </row>
    <row r="37" spans="1:4" ht="12.75" customHeight="1" hidden="1">
      <c r="A37" s="183"/>
      <c r="B37" s="183"/>
      <c r="C37" s="183"/>
      <c r="D37" s="183"/>
    </row>
    <row r="38" spans="1:4" ht="12.75" customHeight="1" hidden="1">
      <c r="A38" s="183"/>
      <c r="B38" s="183"/>
      <c r="C38" s="183"/>
      <c r="D38" s="183"/>
    </row>
    <row r="39" spans="1:4" ht="12.75" customHeight="1" hidden="1">
      <c r="A39" s="183"/>
      <c r="B39" s="183"/>
      <c r="C39" s="183"/>
      <c r="D39" s="183"/>
    </row>
    <row r="40" spans="1:4" ht="12.75" customHeight="1" hidden="1">
      <c r="A40" s="183"/>
      <c r="B40" s="183"/>
      <c r="C40" s="183"/>
      <c r="D40" s="183"/>
    </row>
    <row r="41" spans="1:4" ht="12.75" customHeight="1" hidden="1">
      <c r="A41" s="183"/>
      <c r="B41" s="183"/>
      <c r="C41" s="183"/>
      <c r="D41" s="183"/>
    </row>
    <row r="42" spans="1:4" ht="12.75" customHeight="1" hidden="1">
      <c r="A42" s="183"/>
      <c r="B42" s="183"/>
      <c r="C42" s="183"/>
      <c r="D42" s="183"/>
    </row>
  </sheetData>
  <sheetProtection/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rintOptions/>
  <pageMargins left="0.28" right="0.22" top="0.787401575" bottom="0.787401575" header="0.31496062" footer="0.31496062"/>
  <pageSetup horizontalDpi="600" verticalDpi="600" orientation="portrait" paperSize="9" scale="70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J44"/>
  <sheetViews>
    <sheetView showGridLines="0" zoomScale="90" zoomScaleNormal="90" zoomScalePageLayoutView="0" workbookViewId="0" topLeftCell="A1">
      <selection activeCell="A1" sqref="A1:J1"/>
    </sheetView>
  </sheetViews>
  <sheetFormatPr defaultColWidth="32.00390625" defaultRowHeight="12.75"/>
  <cols>
    <col min="1" max="1" width="48.421875" style="31" customWidth="1"/>
    <col min="2" max="2" width="15.57421875" style="32" customWidth="1"/>
    <col min="3" max="3" width="16.57421875" style="37" customWidth="1"/>
    <col min="4" max="4" width="16.7109375" style="31" customWidth="1"/>
    <col min="5" max="5" width="16.28125" style="31" customWidth="1"/>
    <col min="6" max="6" width="16.140625" style="31" customWidth="1"/>
    <col min="7" max="7" width="17.00390625" style="31" customWidth="1"/>
    <col min="8" max="18" width="13.7109375" style="31" customWidth="1"/>
    <col min="19" max="16384" width="32.00390625" style="31" customWidth="1"/>
  </cols>
  <sheetData>
    <row r="1" spans="1:10" ht="12">
      <c r="A1" s="515" t="str">
        <f>Parâmetros!A7</f>
        <v>Município de Barra do Quaraí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2">
      <c r="A2" s="518" t="s">
        <v>527</v>
      </c>
      <c r="B2" s="516"/>
      <c r="C2" s="516"/>
      <c r="D2" s="516"/>
      <c r="E2" s="516"/>
      <c r="F2" s="516"/>
      <c r="G2" s="516"/>
      <c r="H2" s="516"/>
      <c r="I2" s="516"/>
      <c r="J2" s="517"/>
    </row>
    <row r="3" spans="1:10" ht="12">
      <c r="A3" s="518" t="s">
        <v>611</v>
      </c>
      <c r="B3" s="516"/>
      <c r="C3" s="516"/>
      <c r="D3" s="516"/>
      <c r="E3" s="516"/>
      <c r="F3" s="516"/>
      <c r="G3" s="516"/>
      <c r="H3" s="516"/>
      <c r="I3" s="516"/>
      <c r="J3" s="517"/>
    </row>
    <row r="4" spans="1:3" ht="12">
      <c r="A4" s="33"/>
      <c r="C4" s="30"/>
    </row>
    <row r="5" spans="1:7" ht="15">
      <c r="A5" s="514" t="s">
        <v>146</v>
      </c>
      <c r="B5" s="273">
        <f>Parâmetros!B10</f>
        <v>2016</v>
      </c>
      <c r="C5" s="273">
        <f>B5+1</f>
        <v>2017</v>
      </c>
      <c r="D5" s="273">
        <f>C5+1</f>
        <v>2018</v>
      </c>
      <c r="E5" s="273">
        <f>D5+1</f>
        <v>2019</v>
      </c>
      <c r="F5" s="273">
        <f>E5+1</f>
        <v>2020</v>
      </c>
      <c r="G5" s="273">
        <f>F5+1</f>
        <v>2021</v>
      </c>
    </row>
    <row r="6" spans="1:7" ht="39.75" customHeight="1">
      <c r="A6" s="514"/>
      <c r="B6" s="384" t="s">
        <v>128</v>
      </c>
      <c r="C6" s="338" t="s">
        <v>128</v>
      </c>
      <c r="D6" s="338" t="s">
        <v>129</v>
      </c>
      <c r="E6" s="338" t="s">
        <v>642</v>
      </c>
      <c r="F6" s="338" t="s">
        <v>642</v>
      </c>
      <c r="G6" s="338" t="s">
        <v>642</v>
      </c>
    </row>
    <row r="7" spans="1:7" ht="22.5" customHeight="1">
      <c r="A7" s="383" t="s">
        <v>636</v>
      </c>
      <c r="B7" s="385">
        <f aca="true" t="shared" si="0" ref="B7:G7">B8+B9+B10</f>
        <v>5988.12</v>
      </c>
      <c r="C7" s="385">
        <f t="shared" si="0"/>
        <v>1040756.98</v>
      </c>
      <c r="D7" s="385">
        <f t="shared" si="0"/>
        <v>736477.44</v>
      </c>
      <c r="E7" s="385">
        <f t="shared" si="0"/>
        <v>594407.5133333333</v>
      </c>
      <c r="F7" s="385">
        <f t="shared" si="0"/>
        <v>790547.3111111111</v>
      </c>
      <c r="G7" s="385">
        <f t="shared" si="0"/>
        <v>707144.0881481481</v>
      </c>
    </row>
    <row r="8" spans="1:7" ht="22.5" customHeight="1">
      <c r="A8" s="275" t="s">
        <v>633</v>
      </c>
      <c r="B8" s="63">
        <v>0</v>
      </c>
      <c r="C8" s="63">
        <v>0</v>
      </c>
      <c r="D8" s="63">
        <v>0</v>
      </c>
      <c r="E8" s="277">
        <f aca="true" t="shared" si="1" ref="E8:G10">(B8+C8+D8)/3</f>
        <v>0</v>
      </c>
      <c r="F8" s="277">
        <f t="shared" si="1"/>
        <v>0</v>
      </c>
      <c r="G8" s="277">
        <f t="shared" si="1"/>
        <v>0</v>
      </c>
    </row>
    <row r="9" spans="1:7" ht="22.5" customHeight="1">
      <c r="A9" s="275" t="s">
        <v>634</v>
      </c>
      <c r="B9" s="63">
        <v>5988.12</v>
      </c>
      <c r="C9" s="63">
        <v>1040756.98</v>
      </c>
      <c r="D9" s="63">
        <v>736477.44</v>
      </c>
      <c r="E9" s="277">
        <f t="shared" si="1"/>
        <v>594407.5133333333</v>
      </c>
      <c r="F9" s="277">
        <f t="shared" si="1"/>
        <v>790547.3111111111</v>
      </c>
      <c r="G9" s="277">
        <f t="shared" si="1"/>
        <v>707144.0881481481</v>
      </c>
    </row>
    <row r="10" spans="1:7" ht="22.5" customHeight="1">
      <c r="A10" s="275" t="s">
        <v>635</v>
      </c>
      <c r="B10" s="63">
        <v>0</v>
      </c>
      <c r="C10" s="63">
        <v>0</v>
      </c>
      <c r="D10" s="63">
        <v>0</v>
      </c>
      <c r="E10" s="277">
        <f t="shared" si="1"/>
        <v>0</v>
      </c>
      <c r="F10" s="277">
        <f t="shared" si="1"/>
        <v>0</v>
      </c>
      <c r="G10" s="277">
        <f t="shared" si="1"/>
        <v>0</v>
      </c>
    </row>
    <row r="11" spans="1:7" ht="15">
      <c r="A11" s="275" t="s">
        <v>637</v>
      </c>
      <c r="B11" s="385">
        <f aca="true" t="shared" si="2" ref="B11:G11">B12-B13+B14</f>
        <v>1374331.03</v>
      </c>
      <c r="C11" s="385">
        <f t="shared" si="2"/>
        <v>1155660.54</v>
      </c>
      <c r="D11" s="385">
        <f t="shared" si="2"/>
        <v>1452178.47</v>
      </c>
      <c r="E11" s="385">
        <f t="shared" si="2"/>
        <v>1327390.0133333332</v>
      </c>
      <c r="F11" s="385">
        <f t="shared" si="2"/>
        <v>1311743.0077777777</v>
      </c>
      <c r="G11" s="385">
        <f t="shared" si="2"/>
        <v>1363770.497037037</v>
      </c>
    </row>
    <row r="12" spans="1:7" ht="15">
      <c r="A12" s="275" t="s">
        <v>638</v>
      </c>
      <c r="B12" s="63">
        <v>1284108.24</v>
      </c>
      <c r="C12" s="63">
        <v>1080171.53</v>
      </c>
      <c r="D12" s="63">
        <v>1383817.86</v>
      </c>
      <c r="E12" s="277">
        <f aca="true" t="shared" si="3" ref="E12:G14">(B12+C12+D12)/3</f>
        <v>1249365.8766666667</v>
      </c>
      <c r="F12" s="277">
        <f t="shared" si="3"/>
        <v>1237785.088888889</v>
      </c>
      <c r="G12" s="277">
        <f t="shared" si="3"/>
        <v>1290322.9418518518</v>
      </c>
    </row>
    <row r="13" spans="1:7" ht="15">
      <c r="A13" s="275" t="s">
        <v>639</v>
      </c>
      <c r="B13" s="63">
        <v>12386.8</v>
      </c>
      <c r="C13" s="63">
        <v>7526.73</v>
      </c>
      <c r="D13" s="63">
        <v>29348.04</v>
      </c>
      <c r="E13" s="277">
        <f t="shared" si="3"/>
        <v>16420.523333333334</v>
      </c>
      <c r="F13" s="277">
        <f t="shared" si="3"/>
        <v>17765.097777777777</v>
      </c>
      <c r="G13" s="277">
        <f t="shared" si="3"/>
        <v>21177.88703703704</v>
      </c>
    </row>
    <row r="14" spans="1:7" ht="15">
      <c r="A14" s="275" t="s">
        <v>641</v>
      </c>
      <c r="B14" s="63">
        <v>102609.59</v>
      </c>
      <c r="C14" s="63">
        <v>83015.74</v>
      </c>
      <c r="D14" s="63">
        <v>97708.65</v>
      </c>
      <c r="E14" s="277">
        <f t="shared" si="3"/>
        <v>94444.65999999999</v>
      </c>
      <c r="F14" s="277">
        <f t="shared" si="3"/>
        <v>91723.01666666666</v>
      </c>
      <c r="G14" s="277">
        <f t="shared" si="3"/>
        <v>94625.44222222222</v>
      </c>
    </row>
    <row r="15" spans="1:7" ht="22.5" customHeight="1">
      <c r="A15" s="275" t="s">
        <v>640</v>
      </c>
      <c r="B15" s="276">
        <f aca="true" t="shared" si="4" ref="B15:G15">B7-B11</f>
        <v>-1368342.91</v>
      </c>
      <c r="C15" s="276">
        <f t="shared" si="4"/>
        <v>-114903.56000000006</v>
      </c>
      <c r="D15" s="276">
        <f t="shared" si="4"/>
        <v>-715701.03</v>
      </c>
      <c r="E15" s="276">
        <f t="shared" si="4"/>
        <v>-732982.4999999999</v>
      </c>
      <c r="F15" s="276">
        <f t="shared" si="4"/>
        <v>-521195.69666666666</v>
      </c>
      <c r="G15" s="276">
        <f t="shared" si="4"/>
        <v>-656626.4088888889</v>
      </c>
    </row>
    <row r="16" spans="1:7" s="34" customFormat="1" ht="15">
      <c r="A16" s="48"/>
      <c r="B16" s="49"/>
      <c r="C16" s="49"/>
      <c r="D16" s="49"/>
      <c r="E16" s="49"/>
      <c r="F16" s="49"/>
      <c r="G16" s="49"/>
    </row>
    <row r="17" spans="1:7" ht="15">
      <c r="A17" s="50" t="s">
        <v>643</v>
      </c>
      <c r="B17" s="64"/>
      <c r="C17" s="51"/>
      <c r="D17" s="51"/>
      <c r="E17" s="51"/>
      <c r="F17" s="51"/>
      <c r="G17" s="52" t="s">
        <v>5</v>
      </c>
    </row>
    <row r="18" spans="1:7" ht="15">
      <c r="A18" s="514" t="s">
        <v>154</v>
      </c>
      <c r="B18" s="273">
        <f>Parâmetros!B10</f>
        <v>2016</v>
      </c>
      <c r="C18" s="273">
        <f>B18+1</f>
        <v>2017</v>
      </c>
      <c r="D18" s="273">
        <f>C18+1</f>
        <v>2018</v>
      </c>
      <c r="E18" s="273">
        <f>D18+1</f>
        <v>2019</v>
      </c>
      <c r="F18" s="273">
        <f>E18+1</f>
        <v>2020</v>
      </c>
      <c r="G18" s="273">
        <f>F18+1</f>
        <v>2021</v>
      </c>
    </row>
    <row r="19" spans="1:7" ht="15">
      <c r="A19" s="514"/>
      <c r="B19" s="273" t="s">
        <v>10</v>
      </c>
      <c r="C19" s="274" t="s">
        <v>10</v>
      </c>
      <c r="D19" s="274" t="s">
        <v>129</v>
      </c>
      <c r="E19" s="274" t="s">
        <v>11</v>
      </c>
      <c r="F19" s="274" t="s">
        <v>11</v>
      </c>
      <c r="G19" s="274" t="s">
        <v>11</v>
      </c>
    </row>
    <row r="20" spans="1:7" s="35" customFormat="1" ht="15">
      <c r="A20" s="278" t="s">
        <v>38</v>
      </c>
      <c r="B20" s="279">
        <f>Projeções!D79</f>
        <v>0</v>
      </c>
      <c r="C20" s="279">
        <f>Projeções!E79</f>
        <v>0</v>
      </c>
      <c r="D20" s="279">
        <f>Projeções!F79</f>
        <v>0</v>
      </c>
      <c r="E20" s="65">
        <v>0</v>
      </c>
      <c r="F20" s="65">
        <v>0</v>
      </c>
      <c r="G20" s="65">
        <v>0</v>
      </c>
    </row>
    <row r="21" spans="1:7" ht="15">
      <c r="A21" s="275" t="s">
        <v>496</v>
      </c>
      <c r="B21" s="276">
        <f>Projeções!D119+Projeções!D120</f>
        <v>0</v>
      </c>
      <c r="C21" s="276">
        <f>Projeções!E119+Projeções!E120</f>
        <v>0</v>
      </c>
      <c r="D21" s="276">
        <f>Projeções!F119+Projeções!F120</f>
        <v>0</v>
      </c>
      <c r="E21" s="276">
        <f>Projeções!G119+Projeções!G120</f>
        <v>0</v>
      </c>
      <c r="F21" s="276">
        <f>Projeções!H119+Projeções!H120</f>
        <v>0</v>
      </c>
      <c r="G21" s="276">
        <f>Projeções!I119+Projeções!I120</f>
        <v>0</v>
      </c>
    </row>
    <row r="22" spans="1:7" ht="15">
      <c r="A22" s="275" t="s">
        <v>497</v>
      </c>
      <c r="B22" s="276">
        <f>Projeções!D136+Projeções!D137</f>
        <v>302265.3</v>
      </c>
      <c r="C22" s="276">
        <f>Projeções!E136+Projeções!E137</f>
        <v>239289.86</v>
      </c>
      <c r="D22" s="276">
        <f>Projeções!F136+Projeções!F137</f>
        <v>300000</v>
      </c>
      <c r="E22" s="276">
        <f>Projeções!G136+Projeções!G137</f>
        <v>304132.8762822773</v>
      </c>
      <c r="F22" s="276">
        <f>Projeções!H136+Projeções!H137</f>
        <v>310975.8659986285</v>
      </c>
      <c r="G22" s="276">
        <f>Projeções!I136+Projeções!I137</f>
        <v>318750.26264859416</v>
      </c>
    </row>
    <row r="23" spans="1:7" ht="15.75" customHeight="1" hidden="1">
      <c r="A23" s="67" t="s">
        <v>35</v>
      </c>
      <c r="B23" s="66"/>
      <c r="C23" s="66"/>
      <c r="D23" s="66"/>
      <c r="E23" s="66"/>
      <c r="F23" s="66"/>
      <c r="G23" s="66"/>
    </row>
    <row r="24" spans="1:7" ht="12.75">
      <c r="A24" s="511" t="s">
        <v>216</v>
      </c>
      <c r="B24" s="512"/>
      <c r="C24" s="512"/>
      <c r="D24" s="512"/>
      <c r="E24" s="512"/>
      <c r="F24" s="512"/>
      <c r="G24" s="513"/>
    </row>
    <row r="25" spans="1:3" ht="12">
      <c r="A25" s="33"/>
      <c r="C25" s="30"/>
    </row>
    <row r="26" spans="1:3" ht="12">
      <c r="A26" s="33"/>
      <c r="C26" s="30"/>
    </row>
    <row r="27" spans="1:3" ht="12">
      <c r="A27" s="33"/>
      <c r="C27" s="30"/>
    </row>
    <row r="28" spans="1:3" ht="12">
      <c r="A28" s="33"/>
      <c r="C28" s="30"/>
    </row>
    <row r="29" spans="1:3" ht="12">
      <c r="A29" s="33"/>
      <c r="C29" s="30"/>
    </row>
    <row r="30" spans="1:3" ht="12">
      <c r="A30" s="33"/>
      <c r="C30" s="30"/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2">
      <c r="A36" s="36"/>
    </row>
    <row r="37" ht="12">
      <c r="A37" s="36"/>
    </row>
    <row r="38" ht="12">
      <c r="A38" s="36"/>
    </row>
    <row r="39" ht="12">
      <c r="A39" s="36"/>
    </row>
    <row r="40" ht="12">
      <c r="A40" s="36"/>
    </row>
    <row r="41" ht="12">
      <c r="A41" s="36"/>
    </row>
    <row r="42" ht="12">
      <c r="A42" s="36"/>
    </row>
    <row r="43" ht="12">
      <c r="A43" s="36"/>
    </row>
    <row r="44" ht="12">
      <c r="A44" s="36"/>
    </row>
  </sheetData>
  <sheetProtection/>
  <mergeCells count="6">
    <mergeCell ref="A24:G24"/>
    <mergeCell ref="A18:A19"/>
    <mergeCell ref="A1:J1"/>
    <mergeCell ref="A2:J2"/>
    <mergeCell ref="A3:J3"/>
    <mergeCell ref="A5:A6"/>
  </mergeCells>
  <printOptions/>
  <pageMargins left="0.787401575" right="0.787401575" top="0.984251969" bottom="0.984251969" header="0.492125985" footer="0.492125985"/>
  <pageSetup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B79" sqref="B79"/>
    </sheetView>
  </sheetViews>
  <sheetFormatPr defaultColWidth="32.00390625" defaultRowHeight="12.75"/>
  <cols>
    <col min="1" max="1" width="49.8515625" style="371" customWidth="1"/>
    <col min="2" max="2" width="13.8515625" style="373" customWidth="1"/>
    <col min="3" max="3" width="14.421875" style="376" customWidth="1"/>
    <col min="4" max="4" width="14.8515625" style="371" customWidth="1"/>
    <col min="5" max="5" width="15.28125" style="371" customWidth="1"/>
    <col min="6" max="6" width="14.57421875" style="371" customWidth="1"/>
    <col min="7" max="7" width="15.421875" style="371" customWidth="1"/>
    <col min="8" max="17" width="13.7109375" style="371" customWidth="1"/>
    <col min="18" max="16384" width="32.00390625" style="371" customWidth="1"/>
  </cols>
  <sheetData>
    <row r="1" spans="1:9" ht="15">
      <c r="A1" s="520" t="str">
        <f>Parâmetros!A7</f>
        <v>Município de Barra do Quaraí</v>
      </c>
      <c r="B1" s="521"/>
      <c r="C1" s="521"/>
      <c r="D1" s="521"/>
      <c r="E1" s="521"/>
      <c r="F1" s="521"/>
      <c r="G1" s="521"/>
      <c r="H1" s="521"/>
      <c r="I1" s="522"/>
    </row>
    <row r="2" spans="1:9" ht="15">
      <c r="A2" s="523" t="s">
        <v>527</v>
      </c>
      <c r="B2" s="521"/>
      <c r="C2" s="521"/>
      <c r="D2" s="521"/>
      <c r="E2" s="521"/>
      <c r="F2" s="521"/>
      <c r="G2" s="521"/>
      <c r="H2" s="521"/>
      <c r="I2" s="522"/>
    </row>
    <row r="3" spans="1:9" ht="15">
      <c r="A3" s="523" t="s">
        <v>528</v>
      </c>
      <c r="B3" s="521"/>
      <c r="C3" s="521"/>
      <c r="D3" s="521"/>
      <c r="E3" s="521"/>
      <c r="F3" s="521"/>
      <c r="G3" s="521"/>
      <c r="H3" s="521"/>
      <c r="I3" s="522"/>
    </row>
    <row r="4" spans="1:3" ht="15">
      <c r="A4" s="372"/>
      <c r="C4" s="371"/>
    </row>
    <row r="5" spans="1:7" ht="15">
      <c r="A5" s="519" t="s">
        <v>529</v>
      </c>
      <c r="B5" s="359">
        <f>Parâmetros!B10</f>
        <v>2016</v>
      </c>
      <c r="C5" s="359">
        <f>B5+1</f>
        <v>2017</v>
      </c>
      <c r="D5" s="359">
        <f>C5+1</f>
        <v>2018</v>
      </c>
      <c r="E5" s="359">
        <f>D5+1</f>
        <v>2019</v>
      </c>
      <c r="F5" s="359">
        <f>E5+1</f>
        <v>2020</v>
      </c>
      <c r="G5" s="359">
        <f>F5+1</f>
        <v>2021</v>
      </c>
    </row>
    <row r="6" spans="1:7" ht="12.75" customHeight="1">
      <c r="A6" s="519"/>
      <c r="B6" s="359" t="s">
        <v>530</v>
      </c>
      <c r="C6" s="359" t="s">
        <v>530</v>
      </c>
      <c r="D6" s="360" t="s">
        <v>531</v>
      </c>
      <c r="E6" s="360" t="s">
        <v>531</v>
      </c>
      <c r="F6" s="360" t="s">
        <v>531</v>
      </c>
      <c r="G6" s="360" t="s">
        <v>531</v>
      </c>
    </row>
    <row r="7" spans="1:7" ht="19.5" customHeight="1">
      <c r="A7" s="361" t="s">
        <v>222</v>
      </c>
      <c r="B7" s="432">
        <f>Projeções!D8+Projeções!D99-Projeções!D103</f>
        <v>18657875.176</v>
      </c>
      <c r="C7" s="432">
        <f>Projeções!E8+Projeções!E99-Projeções!E103</f>
        <v>19472853.946000006</v>
      </c>
      <c r="D7" s="432">
        <f>Projeções!F8+Projeções!F99-Projeções!F103</f>
        <v>21080697.4</v>
      </c>
      <c r="E7" s="432">
        <f>Projeções!G8+Projeções!G99-Projeções!G103</f>
        <v>22949347.613633905</v>
      </c>
      <c r="F7" s="432">
        <f>Projeções!H8+Projeções!H99-Projeções!H103</f>
        <v>25342028.011725504</v>
      </c>
      <c r="G7" s="432">
        <f>Projeções!I8+Projeções!I99-Projeções!I103</f>
        <v>28074879.837279268</v>
      </c>
    </row>
    <row r="8" spans="1:7" ht="19.5" customHeight="1">
      <c r="A8" s="363" t="s">
        <v>532</v>
      </c>
      <c r="B8" s="432">
        <f>Projeções!D25-Projeções!D28</f>
        <v>64698.65</v>
      </c>
      <c r="C8" s="432">
        <f>Projeções!E25-Projeções!E28</f>
        <v>34840.78</v>
      </c>
      <c r="D8" s="432">
        <f>Projeções!F25-Projeções!F28</f>
        <v>104039.37999999999</v>
      </c>
      <c r="E8" s="432">
        <f>Projeções!G25-Projeções!G28</f>
        <v>73890.92514753123</v>
      </c>
      <c r="F8" s="432">
        <f>Projeções!H25-Projeções!H28</f>
        <v>77064.5403826177</v>
      </c>
      <c r="G8" s="432">
        <f>Projeções!I25-Projeções!I28</f>
        <v>80570.97697002682</v>
      </c>
    </row>
    <row r="9" spans="1:7" ht="19.5" customHeight="1">
      <c r="A9" s="363" t="s">
        <v>533</v>
      </c>
      <c r="B9" s="433">
        <f>Projeções!D28</f>
        <v>0</v>
      </c>
      <c r="C9" s="433">
        <f>Projeções!E28</f>
        <v>0</v>
      </c>
      <c r="D9" s="433">
        <f>Projeções!F28</f>
        <v>0</v>
      </c>
      <c r="E9" s="433">
        <f>Projeções!G28</f>
        <v>0</v>
      </c>
      <c r="F9" s="433">
        <f>Projeções!H28</f>
        <v>0</v>
      </c>
      <c r="G9" s="433">
        <f>Projeções!I28</f>
        <v>0</v>
      </c>
    </row>
    <row r="10" spans="1:7" ht="19.5" customHeight="1">
      <c r="A10" s="363" t="s">
        <v>534</v>
      </c>
      <c r="B10" s="433">
        <f>Projeções!D37+Projeções!D69+Projeções!D74+Projeções!D76</f>
        <v>0</v>
      </c>
      <c r="C10" s="433">
        <f>Projeções!E37+Projeções!E69+Projeções!E74+Projeções!E76</f>
        <v>0</v>
      </c>
      <c r="D10" s="433">
        <f>Projeções!F37+Projeções!F69+Projeções!F74+Projeções!F76</f>
        <v>0</v>
      </c>
      <c r="E10" s="433">
        <f>Projeções!G37+Projeções!G69+Projeções!G74+Projeções!G76</f>
        <v>0</v>
      </c>
      <c r="F10" s="433">
        <f>Projeções!H37+Projeções!H69+Projeções!H74+Projeções!H76</f>
        <v>0</v>
      </c>
      <c r="G10" s="433">
        <f>Projeções!I37+Projeções!I69+Projeções!I74+Projeções!I76</f>
        <v>0</v>
      </c>
    </row>
    <row r="11" spans="1:7" ht="19.5" customHeight="1">
      <c r="A11" s="361" t="s">
        <v>563</v>
      </c>
      <c r="B11" s="434">
        <f aca="true" t="shared" si="0" ref="B11:G11">B7-B8-B9-B10</f>
        <v>18593176.526</v>
      </c>
      <c r="C11" s="434">
        <f t="shared" si="0"/>
        <v>19438013.166000005</v>
      </c>
      <c r="D11" s="434">
        <f t="shared" si="0"/>
        <v>20976658.02</v>
      </c>
      <c r="E11" s="434">
        <f t="shared" si="0"/>
        <v>22875456.688486375</v>
      </c>
      <c r="F11" s="434">
        <f t="shared" si="0"/>
        <v>25264963.471342888</v>
      </c>
      <c r="G11" s="434">
        <f t="shared" si="0"/>
        <v>27994308.86030924</v>
      </c>
    </row>
    <row r="12" spans="1:7" ht="19.5" customHeight="1">
      <c r="A12" s="361"/>
      <c r="B12" s="434"/>
      <c r="C12" s="434"/>
      <c r="D12" s="434"/>
      <c r="E12" s="434"/>
      <c r="F12" s="434"/>
      <c r="G12" s="434"/>
    </row>
    <row r="13" spans="1:7" ht="19.5" customHeight="1">
      <c r="A13" s="364" t="s">
        <v>340</v>
      </c>
      <c r="B13" s="434">
        <f>Projeções!D78+Projeções!D103</f>
        <v>12048.33</v>
      </c>
      <c r="C13" s="434">
        <f>Projeções!E78+Projeções!E103</f>
        <v>33960.85</v>
      </c>
      <c r="D13" s="434">
        <f>Projeções!F78+Projeções!F103</f>
        <v>11342</v>
      </c>
      <c r="E13" s="434">
        <f>Projeções!G78+Projeções!G103</f>
        <v>20698.06702745679</v>
      </c>
      <c r="F13" s="434">
        <f>Projeções!H78+Projeções!H103</f>
        <v>21163.773535574564</v>
      </c>
      <c r="G13" s="434">
        <f>Projeções!I78+Projeções!I103</f>
        <v>21692.867873963925</v>
      </c>
    </row>
    <row r="14" spans="1:7" ht="19.5" customHeight="1">
      <c r="A14" s="365" t="s">
        <v>535</v>
      </c>
      <c r="B14" s="433">
        <f>Projeções!D79</f>
        <v>0</v>
      </c>
      <c r="C14" s="433">
        <f>Projeções!E79</f>
        <v>0</v>
      </c>
      <c r="D14" s="433">
        <f>Projeções!F79</f>
        <v>0</v>
      </c>
      <c r="E14" s="433">
        <f>Projeções!G79</f>
        <v>0</v>
      </c>
      <c r="F14" s="433">
        <f>Projeções!H79</f>
        <v>0</v>
      </c>
      <c r="G14" s="433">
        <f>Projeções!I79</f>
        <v>0</v>
      </c>
    </row>
    <row r="15" spans="1:7" ht="19.5" customHeight="1">
      <c r="A15" s="365" t="s">
        <v>536</v>
      </c>
      <c r="B15" s="433">
        <f>Projeções!D85</f>
        <v>0</v>
      </c>
      <c r="C15" s="433">
        <f>Projeções!E85</f>
        <v>0</v>
      </c>
      <c r="D15" s="433">
        <f>Projeções!F85</f>
        <v>0</v>
      </c>
      <c r="E15" s="433">
        <f>Projeções!G85</f>
        <v>0</v>
      </c>
      <c r="F15" s="433">
        <f>Projeções!H85</f>
        <v>0</v>
      </c>
      <c r="G15" s="433">
        <f>Projeções!I85</f>
        <v>0</v>
      </c>
    </row>
    <row r="16" spans="1:7" ht="19.5" customHeight="1">
      <c r="A16" s="365" t="s">
        <v>537</v>
      </c>
      <c r="B16" s="433">
        <f>Projeções!D81+Projeções!D82</f>
        <v>0</v>
      </c>
      <c r="C16" s="433">
        <f>Projeções!E81+Projeções!E82</f>
        <v>0</v>
      </c>
      <c r="D16" s="433">
        <f>Projeções!F81+Projeções!F82</f>
        <v>0</v>
      </c>
      <c r="E16" s="433">
        <f>Projeções!G81+Projeções!G82</f>
        <v>0</v>
      </c>
      <c r="F16" s="433">
        <f>Projeções!H81+Projeções!H82</f>
        <v>0</v>
      </c>
      <c r="G16" s="433">
        <f>Projeções!I81+Projeções!I82</f>
        <v>0</v>
      </c>
    </row>
    <row r="17" spans="1:8" ht="19.5" customHeight="1">
      <c r="A17" s="365" t="s">
        <v>538</v>
      </c>
      <c r="B17" s="433">
        <f>Projeções!D96</f>
        <v>0</v>
      </c>
      <c r="C17" s="433">
        <f>Projeções!E96</f>
        <v>0</v>
      </c>
      <c r="D17" s="433">
        <f>Projeções!F96</f>
        <v>0</v>
      </c>
      <c r="E17" s="433">
        <f>Projeções!G96</f>
        <v>0</v>
      </c>
      <c r="F17" s="433">
        <f>Projeções!H96</f>
        <v>0</v>
      </c>
      <c r="G17" s="433">
        <f>Projeções!I96</f>
        <v>0</v>
      </c>
      <c r="H17" s="366"/>
    </row>
    <row r="18" spans="1:7" ht="19.5" customHeight="1">
      <c r="A18" s="364" t="s">
        <v>564</v>
      </c>
      <c r="B18" s="434">
        <f aca="true" t="shared" si="1" ref="B18:G18">B13-B14-B15-B16-B17</f>
        <v>12048.33</v>
      </c>
      <c r="C18" s="434">
        <f t="shared" si="1"/>
        <v>33960.85</v>
      </c>
      <c r="D18" s="434">
        <f t="shared" si="1"/>
        <v>11342</v>
      </c>
      <c r="E18" s="434">
        <f t="shared" si="1"/>
        <v>20698.06702745679</v>
      </c>
      <c r="F18" s="434">
        <f t="shared" si="1"/>
        <v>21163.773535574564</v>
      </c>
      <c r="G18" s="434">
        <f t="shared" si="1"/>
        <v>21692.867873963925</v>
      </c>
    </row>
    <row r="19" spans="1:7" s="374" customFormat="1" ht="19.5" customHeight="1">
      <c r="A19" s="367" t="s">
        <v>565</v>
      </c>
      <c r="B19" s="435">
        <f aca="true" t="shared" si="2" ref="B19:G19">B11+B18</f>
        <v>18605224.856</v>
      </c>
      <c r="C19" s="435">
        <f t="shared" si="2"/>
        <v>19471974.016000006</v>
      </c>
      <c r="D19" s="435">
        <f t="shared" si="2"/>
        <v>20988000.02</v>
      </c>
      <c r="E19" s="435">
        <f t="shared" si="2"/>
        <v>22896154.755513832</v>
      </c>
      <c r="F19" s="435">
        <f t="shared" si="2"/>
        <v>25286127.244878463</v>
      </c>
      <c r="G19" s="435">
        <f t="shared" si="2"/>
        <v>28016001.728183202</v>
      </c>
    </row>
    <row r="20" ht="15">
      <c r="A20" s="375"/>
    </row>
    <row r="21" spans="1:7" ht="15">
      <c r="A21" s="519" t="s">
        <v>557</v>
      </c>
      <c r="B21" s="359">
        <f>B5</f>
        <v>2016</v>
      </c>
      <c r="C21" s="359">
        <f>B21+1</f>
        <v>2017</v>
      </c>
      <c r="D21" s="359">
        <f>C21+1</f>
        <v>2018</v>
      </c>
      <c r="E21" s="359">
        <f>D21+1</f>
        <v>2019</v>
      </c>
      <c r="F21" s="359">
        <f>E21+1</f>
        <v>2020</v>
      </c>
      <c r="G21" s="359">
        <f>F21+1</f>
        <v>2021</v>
      </c>
    </row>
    <row r="22" spans="1:7" ht="15">
      <c r="A22" s="519"/>
      <c r="B22" s="359" t="s">
        <v>569</v>
      </c>
      <c r="C22" s="359" t="s">
        <v>569</v>
      </c>
      <c r="D22" s="360" t="s">
        <v>570</v>
      </c>
      <c r="E22" s="360" t="s">
        <v>531</v>
      </c>
      <c r="F22" s="360" t="s">
        <v>531</v>
      </c>
      <c r="G22" s="360" t="s">
        <v>531</v>
      </c>
    </row>
    <row r="23" spans="1:8" ht="15">
      <c r="A23" s="361" t="s">
        <v>442</v>
      </c>
      <c r="B23" s="436">
        <f>Projeções!D113</f>
        <v>16319448.12</v>
      </c>
      <c r="C23" s="436">
        <f>Projeções!E113</f>
        <v>17558040.78</v>
      </c>
      <c r="D23" s="436">
        <f>Projeções!F113</f>
        <v>20268039.4</v>
      </c>
      <c r="E23" s="436">
        <f>Projeções!G113</f>
        <v>21153574.685363844</v>
      </c>
      <c r="F23" s="436">
        <f>Projeções!H113</f>
        <v>23406597.009995688</v>
      </c>
      <c r="G23" s="436">
        <f>Projeções!I113</f>
        <v>25910291.717780687</v>
      </c>
      <c r="H23" s="362"/>
    </row>
    <row r="24" spans="1:7" ht="15">
      <c r="A24" s="363" t="s">
        <v>558</v>
      </c>
      <c r="B24" s="432">
        <f>Projeções!D118</f>
        <v>0</v>
      </c>
      <c r="C24" s="432">
        <f>Projeções!E118</f>
        <v>0</v>
      </c>
      <c r="D24" s="432">
        <f>Projeções!F118</f>
        <v>0</v>
      </c>
      <c r="E24" s="432">
        <f>Projeções!G118</f>
        <v>0</v>
      </c>
      <c r="F24" s="432">
        <f>Projeções!H118</f>
        <v>0</v>
      </c>
      <c r="G24" s="432">
        <f>Projeções!I118</f>
        <v>0</v>
      </c>
    </row>
    <row r="25" spans="1:7" ht="15">
      <c r="A25" s="361" t="s">
        <v>566</v>
      </c>
      <c r="B25" s="434">
        <f aca="true" t="shared" si="3" ref="B25:G25">B23-B24</f>
        <v>16319448.12</v>
      </c>
      <c r="C25" s="434">
        <f t="shared" si="3"/>
        <v>17558040.78</v>
      </c>
      <c r="D25" s="434">
        <f t="shared" si="3"/>
        <v>20268039.4</v>
      </c>
      <c r="E25" s="434">
        <f t="shared" si="3"/>
        <v>21153574.685363844</v>
      </c>
      <c r="F25" s="434">
        <f t="shared" si="3"/>
        <v>23406597.009995688</v>
      </c>
      <c r="G25" s="434">
        <f t="shared" si="3"/>
        <v>25910291.717780687</v>
      </c>
    </row>
    <row r="26" spans="1:7" ht="15">
      <c r="A26" s="361"/>
      <c r="B26" s="434"/>
      <c r="C26" s="434"/>
      <c r="D26" s="434"/>
      <c r="E26" s="434"/>
      <c r="F26" s="434"/>
      <c r="G26" s="434"/>
    </row>
    <row r="27" spans="1:7" ht="15">
      <c r="A27" s="364" t="s">
        <v>443</v>
      </c>
      <c r="B27" s="434">
        <f>Projeções!D126</f>
        <v>565841.72</v>
      </c>
      <c r="C27" s="434">
        <f>Projeções!E126</f>
        <v>524391.26</v>
      </c>
      <c r="D27" s="434">
        <f>Projeções!F126</f>
        <v>824000</v>
      </c>
      <c r="E27" s="434">
        <f>Projeções!G126</f>
        <v>1526073.6954665654</v>
      </c>
      <c r="F27" s="434">
        <f>Projeções!H126</f>
        <v>1943123.828967586</v>
      </c>
      <c r="G27" s="434">
        <f>Projeções!I126</f>
        <v>2640959.066014677</v>
      </c>
    </row>
    <row r="28" spans="1:7" ht="15">
      <c r="A28" s="365" t="s">
        <v>559</v>
      </c>
      <c r="B28" s="433">
        <f>Projeções!D132</f>
        <v>0</v>
      </c>
      <c r="C28" s="433">
        <f>Projeções!E132</f>
        <v>0</v>
      </c>
      <c r="D28" s="433">
        <f>Projeções!F132</f>
        <v>0</v>
      </c>
      <c r="E28" s="433">
        <f>Projeções!G132</f>
        <v>0</v>
      </c>
      <c r="F28" s="433">
        <f>Projeções!H132</f>
        <v>0</v>
      </c>
      <c r="G28" s="433">
        <f>Projeções!I132</f>
        <v>0</v>
      </c>
    </row>
    <row r="29" spans="1:7" ht="15">
      <c r="A29" s="365" t="s">
        <v>560</v>
      </c>
      <c r="B29" s="433"/>
      <c r="C29" s="433"/>
      <c r="D29" s="433"/>
      <c r="E29" s="433"/>
      <c r="F29" s="433"/>
      <c r="G29" s="433"/>
    </row>
    <row r="30" spans="1:7" ht="15">
      <c r="A30" s="365" t="s">
        <v>561</v>
      </c>
      <c r="B30" s="433"/>
      <c r="C30" s="433"/>
      <c r="D30" s="433"/>
      <c r="E30" s="433"/>
      <c r="F30" s="433"/>
      <c r="G30" s="433"/>
    </row>
    <row r="31" spans="1:7" ht="15">
      <c r="A31" s="365" t="s">
        <v>562</v>
      </c>
      <c r="B31" s="433">
        <f>Projeções!D136</f>
        <v>302265.3</v>
      </c>
      <c r="C31" s="433">
        <f>Projeções!E136</f>
        <v>239289.86</v>
      </c>
      <c r="D31" s="433">
        <f>Projeções!F136</f>
        <v>300000</v>
      </c>
      <c r="E31" s="433">
        <f>Projeções!G136</f>
        <v>304132.8762822773</v>
      </c>
      <c r="F31" s="433">
        <f>Projeções!H136</f>
        <v>310975.8659986285</v>
      </c>
      <c r="G31" s="433">
        <f>Projeções!I136</f>
        <v>318750.26264859416</v>
      </c>
    </row>
    <row r="32" spans="1:7" ht="15">
      <c r="A32" s="364" t="s">
        <v>567</v>
      </c>
      <c r="B32" s="434">
        <f aca="true" t="shared" si="4" ref="B32:G32">B27-B28-B29-B30-B31</f>
        <v>263576.42</v>
      </c>
      <c r="C32" s="434">
        <f t="shared" si="4"/>
        <v>285101.4</v>
      </c>
      <c r="D32" s="434">
        <f t="shared" si="4"/>
        <v>524000</v>
      </c>
      <c r="E32" s="434">
        <f t="shared" si="4"/>
        <v>1221940.8191842881</v>
      </c>
      <c r="F32" s="434">
        <f t="shared" si="4"/>
        <v>1632147.9629689574</v>
      </c>
      <c r="G32" s="434">
        <f t="shared" si="4"/>
        <v>2322208.8033660827</v>
      </c>
    </row>
    <row r="33" spans="1:7" ht="15">
      <c r="A33" s="367" t="s">
        <v>568</v>
      </c>
      <c r="B33" s="435">
        <f aca="true" t="shared" si="5" ref="B33:G33">B25+B32</f>
        <v>16583024.54</v>
      </c>
      <c r="C33" s="435">
        <f t="shared" si="5"/>
        <v>17843142.18</v>
      </c>
      <c r="D33" s="435">
        <f t="shared" si="5"/>
        <v>20792039.4</v>
      </c>
      <c r="E33" s="435">
        <f t="shared" si="5"/>
        <v>22375515.504548132</v>
      </c>
      <c r="F33" s="435">
        <f t="shared" si="5"/>
        <v>25038744.972964644</v>
      </c>
      <c r="G33" s="435">
        <f t="shared" si="5"/>
        <v>28232500.52114677</v>
      </c>
    </row>
    <row r="35" spans="1:7" ht="15">
      <c r="A35" s="381" t="s">
        <v>571</v>
      </c>
      <c r="B35" s="382">
        <f aca="true" t="shared" si="6" ref="B35:G35">B19-B33</f>
        <v>2022200.3159999996</v>
      </c>
      <c r="C35" s="382">
        <f t="shared" si="6"/>
        <v>1628831.8360000066</v>
      </c>
      <c r="D35" s="382">
        <f t="shared" si="6"/>
        <v>195960.62000000104</v>
      </c>
      <c r="E35" s="382">
        <f t="shared" si="6"/>
        <v>520639.25096569955</v>
      </c>
      <c r="F35" s="382">
        <f t="shared" si="6"/>
        <v>247382.27191381902</v>
      </c>
      <c r="G35" s="382">
        <f t="shared" si="6"/>
        <v>-216498.79296356812</v>
      </c>
    </row>
    <row r="37" spans="1:7" ht="15">
      <c r="A37" s="519" t="s">
        <v>572</v>
      </c>
      <c r="B37" s="359">
        <f>B21</f>
        <v>2016</v>
      </c>
      <c r="C37" s="359">
        <f>B37+1</f>
        <v>2017</v>
      </c>
      <c r="D37" s="359">
        <f>C37+1</f>
        <v>2018</v>
      </c>
      <c r="E37" s="359">
        <f>D37+1</f>
        <v>2019</v>
      </c>
      <c r="F37" s="359">
        <f>E37+1</f>
        <v>2020</v>
      </c>
      <c r="G37" s="359">
        <f>F37+1</f>
        <v>2021</v>
      </c>
    </row>
    <row r="38" spans="1:7" ht="15.75" thickBot="1">
      <c r="A38" s="519"/>
      <c r="B38" s="359" t="s">
        <v>128</v>
      </c>
      <c r="C38" s="359" t="s">
        <v>128</v>
      </c>
      <c r="D38" s="360" t="s">
        <v>128</v>
      </c>
      <c r="E38" s="360" t="s">
        <v>531</v>
      </c>
      <c r="F38" s="360" t="s">
        <v>531</v>
      </c>
      <c r="G38" s="360" t="s">
        <v>531</v>
      </c>
    </row>
    <row r="39" spans="1:7" ht="30.75" thickBot="1">
      <c r="A39" s="368" t="s">
        <v>573</v>
      </c>
      <c r="B39" s="366">
        <v>0</v>
      </c>
      <c r="C39" s="366">
        <v>0</v>
      </c>
      <c r="D39" s="366">
        <v>0</v>
      </c>
      <c r="E39" s="433">
        <f>((B39+C39+D39)/3)*(1+Parâmetros!E21)</f>
        <v>0</v>
      </c>
      <c r="F39" s="433">
        <f>((C39+D39+E39)/3)*(1+Parâmetros!F21)</f>
        <v>0</v>
      </c>
      <c r="G39" s="433">
        <f>((D39+E39+F39)/3)*(1+Parâmetros!G21)</f>
        <v>0</v>
      </c>
    </row>
    <row r="40" spans="1:7" ht="30.75" thickBot="1">
      <c r="A40" s="369" t="s">
        <v>574</v>
      </c>
      <c r="B40" s="366">
        <v>0</v>
      </c>
      <c r="C40" s="366">
        <v>0</v>
      </c>
      <c r="D40" s="366">
        <v>0</v>
      </c>
      <c r="E40" s="433">
        <f>((B40+C40+D40)/3)*(1+Parâmetros!E21)</f>
        <v>0</v>
      </c>
      <c r="F40" s="433">
        <f>((C40+D40+E40)/3)*(1+Parâmetros!F21)</f>
        <v>0</v>
      </c>
      <c r="G40" s="433">
        <f>((D40+E40+F40)/3)*(1+Parâmetros!G21)</f>
        <v>0</v>
      </c>
    </row>
    <row r="41" spans="1:7" ht="30.75" thickBot="1">
      <c r="A41" s="369" t="s">
        <v>575</v>
      </c>
      <c r="B41" s="366">
        <v>0</v>
      </c>
      <c r="C41" s="366">
        <v>0</v>
      </c>
      <c r="D41" s="366">
        <v>0</v>
      </c>
      <c r="E41" s="433">
        <f>((B41+C41+D41)/3)*(1+Parâmetros!E21)</f>
        <v>0</v>
      </c>
      <c r="F41" s="433">
        <f>((C41+D41+E41)/3)*(1+Parâmetros!F21)</f>
        <v>0</v>
      </c>
      <c r="G41" s="433">
        <f>((D41+E41+F41)/3)*(1+Parâmetros!G21)</f>
        <v>0</v>
      </c>
    </row>
    <row r="42" spans="1:7" ht="30.75" thickBot="1">
      <c r="A42" s="369" t="s">
        <v>576</v>
      </c>
      <c r="B42" s="366">
        <v>0</v>
      </c>
      <c r="C42" s="366">
        <v>0</v>
      </c>
      <c r="D42" s="366">
        <v>0</v>
      </c>
      <c r="E42" s="433">
        <f>((B42+C42+D42)/3)*(1+Parâmetros!E21)</f>
        <v>0</v>
      </c>
      <c r="F42" s="433">
        <f>((C42+D42+E42)/3)*(1+Parâmetros!F21)</f>
        <v>0</v>
      </c>
      <c r="G42" s="433">
        <f>((D42+E42+F42)/3)*(1+Parâmetros!G21)</f>
        <v>0</v>
      </c>
    </row>
    <row r="43" spans="1:7" ht="30.75" thickBot="1">
      <c r="A43" s="369" t="s">
        <v>577</v>
      </c>
      <c r="B43" s="366">
        <v>0</v>
      </c>
      <c r="C43" s="366">
        <v>0</v>
      </c>
      <c r="D43" s="366">
        <v>0</v>
      </c>
      <c r="E43" s="433">
        <f>((B43+C43+D43)/3)*(1+Parâmetros!E21)</f>
        <v>0</v>
      </c>
      <c r="F43" s="433">
        <f>((C43+D43+E43)/3)*(1+Parâmetros!F21)</f>
        <v>0</v>
      </c>
      <c r="G43" s="433">
        <f>((D43+E43+F43)/3)*(1+Parâmetros!G21)</f>
        <v>0</v>
      </c>
    </row>
    <row r="44" spans="1:7" ht="30.75" thickBot="1">
      <c r="A44" s="369" t="s">
        <v>578</v>
      </c>
      <c r="B44" s="366">
        <v>0</v>
      </c>
      <c r="C44" s="366">
        <v>0</v>
      </c>
      <c r="D44" s="366">
        <v>0</v>
      </c>
      <c r="E44" s="433">
        <f>((B44+C44+D44)/3)*(1+Parâmetros!E21)</f>
        <v>0</v>
      </c>
      <c r="F44" s="433">
        <f>((C44+D44+E44)/3)*(1+Parâmetros!F21)</f>
        <v>0</v>
      </c>
      <c r="G44" s="433">
        <f>((D44+E44+F44)/3)*(1+Parâmetros!G21)</f>
        <v>0</v>
      </c>
    </row>
    <row r="45" spans="1:7" ht="30.75" thickBot="1">
      <c r="A45" s="369" t="s">
        <v>579</v>
      </c>
      <c r="B45" s="366">
        <v>0</v>
      </c>
      <c r="C45" s="366">
        <v>0</v>
      </c>
      <c r="D45" s="366">
        <v>0</v>
      </c>
      <c r="E45" s="433">
        <f>((B45+C45+D45)/3)*(1+Parâmetros!E21)</f>
        <v>0</v>
      </c>
      <c r="F45" s="433">
        <f>((C45+D45+E45)/3)*(1+Parâmetros!F21)</f>
        <v>0</v>
      </c>
      <c r="G45" s="433">
        <f>((D45+E45+F45)/3)*(1+Parâmetros!G21)</f>
        <v>0</v>
      </c>
    </row>
    <row r="46" spans="1:7" ht="30.75" thickBot="1">
      <c r="A46" s="369" t="s">
        <v>580</v>
      </c>
      <c r="B46" s="366">
        <v>0</v>
      </c>
      <c r="C46" s="366">
        <v>0</v>
      </c>
      <c r="D46" s="366">
        <v>0</v>
      </c>
      <c r="E46" s="433">
        <f>((B46+C46+D46)/3)*(1+Parâmetros!E21)</f>
        <v>0</v>
      </c>
      <c r="F46" s="433">
        <f>((C46+D46+E46)/3)*(1+Parâmetros!F21)</f>
        <v>0</v>
      </c>
      <c r="G46" s="433">
        <f>((D46+E46+F46)/3)*(1+Parâmetros!G21)</f>
        <v>0</v>
      </c>
    </row>
    <row r="47" spans="1:7" ht="30.75" thickBot="1">
      <c r="A47" s="369" t="s">
        <v>581</v>
      </c>
      <c r="B47" s="366">
        <v>0</v>
      </c>
      <c r="C47" s="366">
        <v>0</v>
      </c>
      <c r="D47" s="366">
        <v>0</v>
      </c>
      <c r="E47" s="433">
        <f>((B47+C47+D47)/3)*(1+Parâmetros!E21)</f>
        <v>0</v>
      </c>
      <c r="F47" s="433">
        <f>((C47+D47+E47)/3)*(1+Parâmetros!F21)</f>
        <v>0</v>
      </c>
      <c r="G47" s="433">
        <f>((D47+E47+F47)/3)*(1+Parâmetros!G21)</f>
        <v>0</v>
      </c>
    </row>
    <row r="48" spans="1:7" ht="30.75" thickBot="1">
      <c r="A48" s="369" t="s">
        <v>582</v>
      </c>
      <c r="B48" s="366">
        <v>0</v>
      </c>
      <c r="C48" s="366">
        <v>0</v>
      </c>
      <c r="D48" s="366">
        <v>0</v>
      </c>
      <c r="E48" s="433">
        <f>((B48+C48+D48)/3)*(1+Parâmetros!E21)</f>
        <v>0</v>
      </c>
      <c r="F48" s="433">
        <f>((C48+D48+E48)/3)*(1+Parâmetros!F21)</f>
        <v>0</v>
      </c>
      <c r="G48" s="433">
        <f>((D48+E48+F48)/3)*(1+Parâmetros!G21)</f>
        <v>0</v>
      </c>
    </row>
    <row r="49" spans="1:7" ht="45.75" thickBot="1">
      <c r="A49" s="369" t="s">
        <v>583</v>
      </c>
      <c r="B49" s="366">
        <v>0</v>
      </c>
      <c r="C49" s="366">
        <v>0</v>
      </c>
      <c r="D49" s="366">
        <v>0</v>
      </c>
      <c r="E49" s="433">
        <f>((B49+C49+D49)/3)*(1+Parâmetros!E21)</f>
        <v>0</v>
      </c>
      <c r="F49" s="433">
        <f>((C49+D49+E49)/3)*(1+Parâmetros!F21)</f>
        <v>0</v>
      </c>
      <c r="G49" s="433">
        <f>((D49+E49+F49)/3)*(1+Parâmetros!G21)</f>
        <v>0</v>
      </c>
    </row>
    <row r="50" spans="1:7" ht="45.75" thickBot="1">
      <c r="A50" s="369" t="s">
        <v>584</v>
      </c>
      <c r="B50" s="366">
        <v>0</v>
      </c>
      <c r="C50" s="366">
        <v>0</v>
      </c>
      <c r="D50" s="366">
        <v>0</v>
      </c>
      <c r="E50" s="433">
        <f>((B50+C50+D50)/3)*(1+Parâmetros!E21)</f>
        <v>0</v>
      </c>
      <c r="F50" s="433">
        <f>((C50+D50+E50)/3)*(1+Parâmetros!F21)</f>
        <v>0</v>
      </c>
      <c r="G50" s="433">
        <f>((D50+E50+F50)/3)*(1+Parâmetros!G21)</f>
        <v>0</v>
      </c>
    </row>
    <row r="51" spans="1:7" ht="45.75" thickBot="1">
      <c r="A51" s="369" t="s">
        <v>585</v>
      </c>
      <c r="B51" s="366">
        <v>0</v>
      </c>
      <c r="C51" s="366">
        <v>0</v>
      </c>
      <c r="D51" s="366">
        <v>0</v>
      </c>
      <c r="E51" s="433">
        <f>((B51+C51+D51)/3)*(1+Parâmetros!E21)</f>
        <v>0</v>
      </c>
      <c r="F51" s="433">
        <f>((C51+D51+E51)/3)*(1+Parâmetros!F21)</f>
        <v>0</v>
      </c>
      <c r="G51" s="433">
        <f>((D51+E51+F51)/3)*(1+Parâmetros!G21)</f>
        <v>0</v>
      </c>
    </row>
    <row r="52" spans="1:7" ht="45.75" thickBot="1">
      <c r="A52" s="369" t="s">
        <v>586</v>
      </c>
      <c r="B52" s="366">
        <v>0</v>
      </c>
      <c r="C52" s="366">
        <v>0</v>
      </c>
      <c r="D52" s="366">
        <v>0</v>
      </c>
      <c r="E52" s="433">
        <f>((B52+C52+D52)/3)*(1+Parâmetros!E21)</f>
        <v>0</v>
      </c>
      <c r="F52" s="433">
        <f>((C52+D52+E52)/3)*(1+Parâmetros!F21)</f>
        <v>0</v>
      </c>
      <c r="G52" s="433">
        <f>((D52+E52+F52)/3)*(1+Parâmetros!G21)</f>
        <v>0</v>
      </c>
    </row>
    <row r="53" spans="1:7" ht="45.75" thickBot="1">
      <c r="A53" s="369" t="s">
        <v>587</v>
      </c>
      <c r="B53" s="366">
        <v>0</v>
      </c>
      <c r="C53" s="366">
        <v>0</v>
      </c>
      <c r="D53" s="366">
        <v>0</v>
      </c>
      <c r="E53" s="433">
        <f>((B53+C53+D53)/3)*(1+Parâmetros!E21)</f>
        <v>0</v>
      </c>
      <c r="F53" s="433">
        <f>((C53+D53+E53)/3)*(1+Parâmetros!F21)</f>
        <v>0</v>
      </c>
      <c r="G53" s="433">
        <f>((D53+E53+F53)/3)*(1+Parâmetros!G21)</f>
        <v>0</v>
      </c>
    </row>
    <row r="54" spans="1:7" ht="30.75" thickBot="1">
      <c r="A54" s="369" t="s">
        <v>588</v>
      </c>
      <c r="B54" s="366">
        <v>0</v>
      </c>
      <c r="C54" s="366">
        <v>0</v>
      </c>
      <c r="D54" s="366">
        <v>0</v>
      </c>
      <c r="E54" s="433">
        <f>((B54+C54+D54)/3)*(1+Parâmetros!E21)</f>
        <v>0</v>
      </c>
      <c r="F54" s="433">
        <f>((C54+D54+E54)/3)*(1+Parâmetros!F21)</f>
        <v>0</v>
      </c>
      <c r="G54" s="433">
        <f>((D54+E54+F54)/3)*(1+Parâmetros!G21)</f>
        <v>0</v>
      </c>
    </row>
    <row r="55" spans="1:7" ht="30">
      <c r="A55" s="370" t="s">
        <v>589</v>
      </c>
      <c r="B55" s="366">
        <v>0</v>
      </c>
      <c r="C55" s="366">
        <v>0</v>
      </c>
      <c r="D55" s="366">
        <v>0</v>
      </c>
      <c r="E55" s="433">
        <f>((B55+C55+D55)/3)*(1+Parâmetros!E21)</f>
        <v>0</v>
      </c>
      <c r="F55" s="433">
        <f>((C55+D55+E55)/3)*(1+Parâmetros!F21)</f>
        <v>0</v>
      </c>
      <c r="G55" s="433">
        <f>((D55+E55+F55)/3)*(1+Parâmetros!G21)</f>
        <v>0</v>
      </c>
    </row>
    <row r="56" spans="1:7" ht="15">
      <c r="A56" s="377" t="s">
        <v>590</v>
      </c>
      <c r="B56" s="378">
        <f aca="true" t="shared" si="7" ref="B56:G56">SUM(B39:B55)</f>
        <v>0</v>
      </c>
      <c r="C56" s="378">
        <f t="shared" si="7"/>
        <v>0</v>
      </c>
      <c r="D56" s="378">
        <f t="shared" si="7"/>
        <v>0</v>
      </c>
      <c r="E56" s="378">
        <f t="shared" si="7"/>
        <v>0</v>
      </c>
      <c r="F56" s="378">
        <f t="shared" si="7"/>
        <v>0</v>
      </c>
      <c r="G56" s="378">
        <f t="shared" si="7"/>
        <v>0</v>
      </c>
    </row>
    <row r="58" spans="1:7" ht="15">
      <c r="A58" s="519" t="s">
        <v>591</v>
      </c>
      <c r="B58" s="359">
        <f>B37</f>
        <v>2016</v>
      </c>
      <c r="C58" s="359">
        <f>B58+1</f>
        <v>2017</v>
      </c>
      <c r="D58" s="359">
        <f>C58+1</f>
        <v>2018</v>
      </c>
      <c r="E58" s="359">
        <f>D58+1</f>
        <v>2019</v>
      </c>
      <c r="F58" s="359">
        <f>E58+1</f>
        <v>2020</v>
      </c>
      <c r="G58" s="359">
        <f>F58+1</f>
        <v>2021</v>
      </c>
    </row>
    <row r="59" spans="1:7" ht="15.75" thickBot="1">
      <c r="A59" s="519"/>
      <c r="B59" s="359" t="s">
        <v>128</v>
      </c>
      <c r="C59" s="359" t="s">
        <v>128</v>
      </c>
      <c r="D59" s="360" t="s">
        <v>128</v>
      </c>
      <c r="E59" s="360" t="s">
        <v>531</v>
      </c>
      <c r="F59" s="360" t="s">
        <v>531</v>
      </c>
      <c r="G59" s="360" t="s">
        <v>531</v>
      </c>
    </row>
    <row r="60" spans="1:7" ht="30.75" thickBot="1">
      <c r="A60" s="379" t="s">
        <v>593</v>
      </c>
      <c r="B60" s="366">
        <v>0</v>
      </c>
      <c r="C60" s="366">
        <v>0</v>
      </c>
      <c r="D60" s="366">
        <v>0</v>
      </c>
      <c r="E60" s="433">
        <f>((B60+C60+D60)/3)*(1+Parâmetros!E21)</f>
        <v>0</v>
      </c>
      <c r="F60" s="433">
        <f>((C60+D60+E60)/3)*(1+Parâmetros!F21)</f>
        <v>0</v>
      </c>
      <c r="G60" s="433">
        <f>((D60+E60+F60)/3)*(1+Parâmetros!G21)</f>
        <v>0</v>
      </c>
    </row>
    <row r="61" spans="1:7" ht="30.75" thickBot="1">
      <c r="A61" s="380" t="s">
        <v>594</v>
      </c>
      <c r="B61" s="366">
        <v>0</v>
      </c>
      <c r="C61" s="366">
        <v>0</v>
      </c>
      <c r="D61" s="366">
        <v>0</v>
      </c>
      <c r="E61" s="433">
        <f>((B61+C61+D61)/3)*(1+Parâmetros!E21)</f>
        <v>0</v>
      </c>
      <c r="F61" s="433">
        <f>((C61+D61+E61)/3)*(1+Parâmetros!F21)</f>
        <v>0</v>
      </c>
      <c r="G61" s="433">
        <f>((D61+E61+F61)/3)*(1+Parâmetros!G21)</f>
        <v>0</v>
      </c>
    </row>
    <row r="62" spans="1:7" ht="30.75" thickBot="1">
      <c r="A62" s="380" t="s">
        <v>595</v>
      </c>
      <c r="B62" s="366">
        <v>0</v>
      </c>
      <c r="C62" s="366">
        <v>0</v>
      </c>
      <c r="D62" s="366">
        <v>0</v>
      </c>
      <c r="E62" s="433">
        <f>((B62+C62+D62)/3)*(1+Parâmetros!E21)</f>
        <v>0</v>
      </c>
      <c r="F62" s="433">
        <f>((C62+D62+E62)/3)*(1+Parâmetros!F21)</f>
        <v>0</v>
      </c>
      <c r="G62" s="433">
        <f>((D62+E62+F62)/3)*(1+Parâmetros!G21)</f>
        <v>0</v>
      </c>
    </row>
    <row r="63" spans="1:7" ht="30.75" thickBot="1">
      <c r="A63" s="380" t="s">
        <v>596</v>
      </c>
      <c r="B63" s="366">
        <v>0</v>
      </c>
      <c r="C63" s="366">
        <v>0</v>
      </c>
      <c r="D63" s="366">
        <v>0</v>
      </c>
      <c r="E63" s="433">
        <f>((B63+C63+D63)/3)*(1+Parâmetros!E21)</f>
        <v>0</v>
      </c>
      <c r="F63" s="433">
        <f>((C63+D63+E63)/3)*(1+Parâmetros!F21)</f>
        <v>0</v>
      </c>
      <c r="G63" s="433">
        <f>((D63+E63+F63)/3)*(1+Parâmetros!G21)</f>
        <v>0</v>
      </c>
    </row>
    <row r="64" spans="1:7" ht="30.75" thickBot="1">
      <c r="A64" s="380" t="s">
        <v>597</v>
      </c>
      <c r="B64" s="366">
        <v>0</v>
      </c>
      <c r="C64" s="366">
        <v>0</v>
      </c>
      <c r="D64" s="366">
        <v>0</v>
      </c>
      <c r="E64" s="433">
        <f>((B64+C64+D64)/3)*(1+Parâmetros!E21)</f>
        <v>0</v>
      </c>
      <c r="F64" s="433">
        <f>((C64+D64+E64)/3)*(1+Parâmetros!F21)</f>
        <v>0</v>
      </c>
      <c r="G64" s="433">
        <f>((D64+E64+F64)/3)*(1+Parâmetros!G21)</f>
        <v>0</v>
      </c>
    </row>
    <row r="65" spans="1:7" ht="30.75" thickBot="1">
      <c r="A65" s="380" t="s">
        <v>598</v>
      </c>
      <c r="B65" s="366">
        <v>0</v>
      </c>
      <c r="C65" s="366">
        <v>0</v>
      </c>
      <c r="D65" s="366">
        <v>0</v>
      </c>
      <c r="E65" s="433">
        <f>((B65+C65+D65)/3)*(1+Parâmetros!E21)</f>
        <v>0</v>
      </c>
      <c r="F65" s="433">
        <f>((C65+D65+E65)/3)*(1+Parâmetros!F21)</f>
        <v>0</v>
      </c>
      <c r="G65" s="433">
        <f>((D65+E65+F65)/3)*(1+Parâmetros!G21)</f>
        <v>0</v>
      </c>
    </row>
    <row r="66" spans="1:7" ht="30.75" thickBot="1">
      <c r="A66" s="380" t="s">
        <v>599</v>
      </c>
      <c r="B66" s="366">
        <v>0</v>
      </c>
      <c r="C66" s="366">
        <v>0</v>
      </c>
      <c r="D66" s="366">
        <v>0</v>
      </c>
      <c r="E66" s="433">
        <f>((B66+C66+D66)/3)*(1+Parâmetros!E21)</f>
        <v>0</v>
      </c>
      <c r="F66" s="433">
        <f>((C66+D66+E66)/3)*(1+Parâmetros!F21)</f>
        <v>0</v>
      </c>
      <c r="G66" s="433">
        <f>((D66+E66+F66)/3)*(1+Parâmetros!G21)</f>
        <v>0</v>
      </c>
    </row>
    <row r="67" spans="1:7" ht="45.75" thickBot="1">
      <c r="A67" s="380" t="s">
        <v>600</v>
      </c>
      <c r="B67" s="366">
        <v>0</v>
      </c>
      <c r="C67" s="366">
        <v>0</v>
      </c>
      <c r="D67" s="366">
        <v>0</v>
      </c>
      <c r="E67" s="433">
        <f>((B67+C67+D67)/3)*(1+Parâmetros!E21)</f>
        <v>0</v>
      </c>
      <c r="F67" s="433">
        <f>((C67+D67+E67)/3)*(1+Parâmetros!F21)</f>
        <v>0</v>
      </c>
      <c r="G67" s="433">
        <f>((D67+E67+F67)/3)*(1+Parâmetros!G21)</f>
        <v>0</v>
      </c>
    </row>
    <row r="68" spans="1:7" ht="45.75" thickBot="1">
      <c r="A68" s="380" t="s">
        <v>601</v>
      </c>
      <c r="B68" s="366">
        <v>0</v>
      </c>
      <c r="C68" s="366">
        <v>0</v>
      </c>
      <c r="D68" s="366">
        <v>0</v>
      </c>
      <c r="E68" s="433">
        <f>((B68+C68+D68)/3)*(1+Parâmetros!E21)</f>
        <v>0</v>
      </c>
      <c r="F68" s="433">
        <f>((C68+D68+E68)/3)*(1+Parâmetros!F21)</f>
        <v>0</v>
      </c>
      <c r="G68" s="433">
        <f>((D68+E68+F68)/3)*(1+Parâmetros!G21)</f>
        <v>0</v>
      </c>
    </row>
    <row r="69" spans="1:7" ht="45.75" thickBot="1">
      <c r="A69" s="380" t="s">
        <v>602</v>
      </c>
      <c r="B69" s="366">
        <v>0</v>
      </c>
      <c r="C69" s="366">
        <v>0</v>
      </c>
      <c r="D69" s="366">
        <v>0</v>
      </c>
      <c r="E69" s="433">
        <f>((B69+C69+D69)/3)*(1+Parâmetros!E21)</f>
        <v>0</v>
      </c>
      <c r="F69" s="433">
        <f>((C69+D69+E69)/3)*(1+Parâmetros!F21)</f>
        <v>0</v>
      </c>
      <c r="G69" s="433">
        <f>((D69+E69+F69)/3)*(1+Parâmetros!G21)</f>
        <v>0</v>
      </c>
    </row>
    <row r="70" spans="1:7" ht="45.75" thickBot="1">
      <c r="A70" s="380" t="s">
        <v>603</v>
      </c>
      <c r="B70" s="366">
        <v>0</v>
      </c>
      <c r="C70" s="366">
        <v>0</v>
      </c>
      <c r="D70" s="366">
        <v>0</v>
      </c>
      <c r="E70" s="433">
        <f>((B70+C70+D70)/3)*(1+Parâmetros!E21)</f>
        <v>0</v>
      </c>
      <c r="F70" s="433">
        <f>((C70+D70+E70)/3)*(1+Parâmetros!F21)</f>
        <v>0</v>
      </c>
      <c r="G70" s="433">
        <f>((D70+E70+F70)/3)*(1+Parâmetros!G21)</f>
        <v>0</v>
      </c>
    </row>
    <row r="71" spans="1:7" ht="45.75" thickBot="1">
      <c r="A71" s="380" t="s">
        <v>604</v>
      </c>
      <c r="B71" s="366">
        <v>0</v>
      </c>
      <c r="C71" s="366">
        <v>0</v>
      </c>
      <c r="D71" s="366">
        <v>0</v>
      </c>
      <c r="E71" s="433">
        <f>((B71+C71+D71)/3)*(1+Parâmetros!E21)</f>
        <v>0</v>
      </c>
      <c r="F71" s="433">
        <f>((C71+D71+E71)/3)*(1+Parâmetros!F21)</f>
        <v>0</v>
      </c>
      <c r="G71" s="433">
        <f>((D71+E71+F71)/3)*(1+Parâmetros!G21)</f>
        <v>0</v>
      </c>
    </row>
    <row r="72" spans="1:7" ht="45.75" thickBot="1">
      <c r="A72" s="380" t="s">
        <v>605</v>
      </c>
      <c r="B72" s="366">
        <v>0</v>
      </c>
      <c r="C72" s="366">
        <v>0</v>
      </c>
      <c r="D72" s="366">
        <v>0</v>
      </c>
      <c r="E72" s="433">
        <f>((B72+C72+D72)/3)*(1+Parâmetros!E21)</f>
        <v>0</v>
      </c>
      <c r="F72" s="433">
        <f>((C72+D72+E72)/3)*(1+Parâmetros!F21)</f>
        <v>0</v>
      </c>
      <c r="G72" s="433">
        <f>((D72+E72+F72)/3)*(1+Parâmetros!G21)</f>
        <v>0</v>
      </c>
    </row>
    <row r="73" spans="1:7" ht="45.75" thickBot="1">
      <c r="A73" s="380" t="s">
        <v>606</v>
      </c>
      <c r="B73" s="366">
        <v>0</v>
      </c>
      <c r="C73" s="366">
        <v>0</v>
      </c>
      <c r="D73" s="366">
        <v>0</v>
      </c>
      <c r="E73" s="433">
        <f>((B73+C73+D73)/3)*(1+Parâmetros!E21)</f>
        <v>0</v>
      </c>
      <c r="F73" s="433">
        <f>((C73+D73+E73)/3)*(1+Parâmetros!F21)</f>
        <v>0</v>
      </c>
      <c r="G73" s="433">
        <f>((D73+E73+F73)/3)*(1+Parâmetros!G21)</f>
        <v>0</v>
      </c>
    </row>
    <row r="74" spans="1:7" ht="45.75" thickBot="1">
      <c r="A74" s="380" t="s">
        <v>607</v>
      </c>
      <c r="B74" s="366">
        <v>0</v>
      </c>
      <c r="C74" s="366">
        <v>0</v>
      </c>
      <c r="D74" s="366">
        <v>0</v>
      </c>
      <c r="E74" s="433">
        <f>((B74+C74+D74)/3)*(1+Parâmetros!E21)</f>
        <v>0</v>
      </c>
      <c r="F74" s="433">
        <f>((C74+D74+E74)/3)*(1+Parâmetros!F21)</f>
        <v>0</v>
      </c>
      <c r="G74" s="433">
        <f>((D74+E74+F74)/3)*(1+Parâmetros!G21)</f>
        <v>0</v>
      </c>
    </row>
    <row r="75" spans="1:7" ht="45.75" thickBot="1">
      <c r="A75" s="380" t="s">
        <v>608</v>
      </c>
      <c r="B75" s="366">
        <v>0</v>
      </c>
      <c r="C75" s="366">
        <v>0</v>
      </c>
      <c r="D75" s="366">
        <v>0</v>
      </c>
      <c r="E75" s="433">
        <f>((B75+C75+D75)/3)*(1+Parâmetros!E21)</f>
        <v>0</v>
      </c>
      <c r="F75" s="433">
        <f>((C75+D75+E75)/3)*(1+Parâmetros!F21)</f>
        <v>0</v>
      </c>
      <c r="G75" s="433">
        <f>((D75+E75+F75)/3)*(1+Parâmetros!G21)</f>
        <v>0</v>
      </c>
    </row>
    <row r="76" spans="1:7" ht="45.75" thickBot="1">
      <c r="A76" s="380" t="s">
        <v>609</v>
      </c>
      <c r="B76" s="366">
        <v>0</v>
      </c>
      <c r="C76" s="366">
        <v>0</v>
      </c>
      <c r="D76" s="366">
        <v>0</v>
      </c>
      <c r="E76" s="433">
        <f>((B76+C76+D76)/3)*(1+Parâmetros!E21)</f>
        <v>0</v>
      </c>
      <c r="F76" s="433">
        <f>((C76+D76+E76)/3)*(1+Parâmetros!F21)</f>
        <v>0</v>
      </c>
      <c r="G76" s="433">
        <f>((D76+E76+F76)/3)*(1+Parâmetros!G21)</f>
        <v>0</v>
      </c>
    </row>
    <row r="77" spans="1:7" ht="15">
      <c r="A77" s="377" t="s">
        <v>592</v>
      </c>
      <c r="B77" s="378">
        <f aca="true" t="shared" si="8" ref="B77:G77">SUM(B60:B76)</f>
        <v>0</v>
      </c>
      <c r="C77" s="378">
        <f t="shared" si="8"/>
        <v>0</v>
      </c>
      <c r="D77" s="378">
        <f t="shared" si="8"/>
        <v>0</v>
      </c>
      <c r="E77" s="378">
        <f t="shared" si="8"/>
        <v>0</v>
      </c>
      <c r="F77" s="378">
        <f t="shared" si="8"/>
        <v>0</v>
      </c>
      <c r="G77" s="378">
        <f t="shared" si="8"/>
        <v>0</v>
      </c>
    </row>
    <row r="79" spans="1:7" ht="15">
      <c r="A79" s="381" t="s">
        <v>610</v>
      </c>
      <c r="B79" s="382">
        <f aca="true" t="shared" si="9" ref="B79:G79">B35+B56-B77</f>
        <v>2022200.3159999996</v>
      </c>
      <c r="C79" s="382">
        <f t="shared" si="9"/>
        <v>1628831.8360000066</v>
      </c>
      <c r="D79" s="382">
        <f t="shared" si="9"/>
        <v>195960.62000000104</v>
      </c>
      <c r="E79" s="382">
        <f t="shared" si="9"/>
        <v>520639.25096569955</v>
      </c>
      <c r="F79" s="382">
        <f t="shared" si="9"/>
        <v>247382.27191381902</v>
      </c>
      <c r="G79" s="382">
        <f t="shared" si="9"/>
        <v>-216498.79296356812</v>
      </c>
    </row>
  </sheetData>
  <sheetProtection/>
  <mergeCells count="7">
    <mergeCell ref="A58:A59"/>
    <mergeCell ref="A1:I1"/>
    <mergeCell ref="A2:I2"/>
    <mergeCell ref="A3:I3"/>
    <mergeCell ref="A5:A6"/>
    <mergeCell ref="A21:A22"/>
    <mergeCell ref="A37:A38"/>
  </mergeCells>
  <printOptions/>
  <pageMargins left="0.36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1"/>
  <dimension ref="A1:M22"/>
  <sheetViews>
    <sheetView view="pageBreakPreview" zoomScaleNormal="80" zoomScaleSheetLayoutView="100" workbookViewId="0" topLeftCell="A1">
      <selection activeCell="A6" sqref="A6:M23"/>
    </sheetView>
  </sheetViews>
  <sheetFormatPr defaultColWidth="9.140625" defaultRowHeight="12.75"/>
  <cols>
    <col min="1" max="1" width="37.8515625" style="110" customWidth="1"/>
    <col min="2" max="2" width="16.00390625" style="110" customWidth="1"/>
    <col min="3" max="3" width="14.7109375" style="110" customWidth="1"/>
    <col min="4" max="4" width="7.28125" style="110" customWidth="1"/>
    <col min="5" max="5" width="9.7109375" style="110" customWidth="1"/>
    <col min="6" max="6" width="15.421875" style="110" customWidth="1"/>
    <col min="7" max="7" width="14.00390625" style="110" customWidth="1"/>
    <col min="8" max="8" width="7.28125" style="110" customWidth="1"/>
    <col min="9" max="9" width="8.57421875" style="110" customWidth="1"/>
    <col min="10" max="10" width="14.57421875" style="110" customWidth="1"/>
    <col min="11" max="11" width="14.8515625" style="110" customWidth="1"/>
    <col min="12" max="12" width="5.28125" style="110" customWidth="1"/>
    <col min="13" max="13" width="8.7109375" style="110" customWidth="1"/>
    <col min="14" max="16384" width="9.140625" style="110" customWidth="1"/>
  </cols>
  <sheetData>
    <row r="1" spans="1:13" ht="12.75">
      <c r="A1" s="524" t="str">
        <f>Parâmetros!A7</f>
        <v>Município de Barra do Quaraí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6"/>
    </row>
    <row r="2" spans="1:13" s="11" customFormat="1" ht="12.75">
      <c r="A2" s="527" t="s">
        <v>36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6"/>
    </row>
    <row r="3" spans="1:13" ht="12.75">
      <c r="A3" s="527" t="s">
        <v>499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</row>
    <row r="4" spans="1:13" ht="12.75">
      <c r="A4" s="528" t="s">
        <v>500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30"/>
    </row>
    <row r="5" spans="1:13" s="11" customFormat="1" ht="17.25" customHeight="1">
      <c r="A5" s="527" t="s">
        <v>614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6"/>
    </row>
    <row r="6" spans="1:13" ht="12.75">
      <c r="A6" s="534" t="s">
        <v>514</v>
      </c>
      <c r="B6" s="535"/>
      <c r="C6" s="535"/>
      <c r="D6" s="536"/>
      <c r="E6" s="350"/>
      <c r="F6" s="544"/>
      <c r="G6" s="544"/>
      <c r="H6" s="544"/>
      <c r="I6" s="350"/>
      <c r="J6" s="548">
        <v>1</v>
      </c>
      <c r="K6" s="549"/>
      <c r="L6" s="549"/>
      <c r="M6" s="549"/>
    </row>
    <row r="7" spans="1:13" s="12" customFormat="1" ht="12.75">
      <c r="A7" s="543" t="s">
        <v>56</v>
      </c>
      <c r="B7" s="551">
        <f>Parâmetros!E10</f>
        <v>2019</v>
      </c>
      <c r="C7" s="552"/>
      <c r="D7" s="552"/>
      <c r="E7" s="553"/>
      <c r="F7" s="531">
        <f>B7+1</f>
        <v>2020</v>
      </c>
      <c r="G7" s="532"/>
      <c r="H7" s="532"/>
      <c r="I7" s="533"/>
      <c r="J7" s="543">
        <f>F7+1</f>
        <v>2021</v>
      </c>
      <c r="K7" s="543"/>
      <c r="L7" s="543"/>
      <c r="M7" s="543"/>
    </row>
    <row r="8" spans="1:13" ht="15.75" customHeight="1">
      <c r="A8" s="543"/>
      <c r="B8" s="537" t="s">
        <v>396</v>
      </c>
      <c r="C8" s="540" t="s">
        <v>516</v>
      </c>
      <c r="D8" s="202" t="s">
        <v>58</v>
      </c>
      <c r="E8" s="202" t="s">
        <v>397</v>
      </c>
      <c r="F8" s="537" t="s">
        <v>517</v>
      </c>
      <c r="G8" s="540" t="s">
        <v>518</v>
      </c>
      <c r="H8" s="202" t="s">
        <v>58</v>
      </c>
      <c r="I8" s="202" t="s">
        <v>397</v>
      </c>
      <c r="J8" s="537" t="s">
        <v>519</v>
      </c>
      <c r="K8" s="537" t="s">
        <v>518</v>
      </c>
      <c r="L8" s="387" t="s">
        <v>58</v>
      </c>
      <c r="M8" s="202" t="s">
        <v>397</v>
      </c>
    </row>
    <row r="9" spans="1:13" s="11" customFormat="1" ht="15.75" customHeight="1">
      <c r="A9" s="543"/>
      <c r="B9" s="538"/>
      <c r="C9" s="541"/>
      <c r="D9" s="202" t="s">
        <v>61</v>
      </c>
      <c r="E9" s="202" t="s">
        <v>398</v>
      </c>
      <c r="F9" s="538"/>
      <c r="G9" s="541"/>
      <c r="H9" s="202" t="s">
        <v>62</v>
      </c>
      <c r="I9" s="202" t="s">
        <v>416</v>
      </c>
      <c r="J9" s="538"/>
      <c r="K9" s="538"/>
      <c r="L9" s="387" t="s">
        <v>63</v>
      </c>
      <c r="M9" s="202" t="s">
        <v>417</v>
      </c>
    </row>
    <row r="10" spans="1:13" s="11" customFormat="1" ht="15.75" customHeight="1">
      <c r="A10" s="543"/>
      <c r="B10" s="539"/>
      <c r="C10" s="542"/>
      <c r="D10" s="202" t="s">
        <v>65</v>
      </c>
      <c r="E10" s="202" t="s">
        <v>65</v>
      </c>
      <c r="F10" s="539"/>
      <c r="G10" s="542"/>
      <c r="H10" s="202" t="s">
        <v>65</v>
      </c>
      <c r="I10" s="202" t="s">
        <v>65</v>
      </c>
      <c r="J10" s="539"/>
      <c r="K10" s="539"/>
      <c r="L10" s="387" t="s">
        <v>65</v>
      </c>
      <c r="M10" s="202" t="s">
        <v>65</v>
      </c>
    </row>
    <row r="11" spans="1:13" s="11" customFormat="1" ht="12.75">
      <c r="A11" s="388" t="s">
        <v>68</v>
      </c>
      <c r="B11" s="348">
        <f>'RPrim-Nom'!E7+'RPrim-Nom'!E13</f>
        <v>22970045.68066136</v>
      </c>
      <c r="C11" s="348">
        <f>B11/(1+Parâmetros!E11)</f>
        <v>22519652.628099374</v>
      </c>
      <c r="D11" s="545" t="s">
        <v>644</v>
      </c>
      <c r="E11" s="389">
        <f>B11/RCL!D14</f>
        <v>0.9942669734641304</v>
      </c>
      <c r="F11" s="348">
        <f>'RPrim-Nom'!F7+'RPrim-Nom'!F13</f>
        <v>25363191.78526108</v>
      </c>
      <c r="G11" s="348">
        <f>F11/((1+Parâmetros!E11)*(1+Parâmetros!F11))</f>
        <v>24318703.47117415</v>
      </c>
      <c r="H11" s="545" t="s">
        <v>644</v>
      </c>
      <c r="I11" s="389">
        <f>F11/RCL!E14</f>
        <v>0.9958682305371331</v>
      </c>
      <c r="J11" s="348">
        <f>'RPrim-Nom'!G7+'RPrim-Nom'!G13</f>
        <v>28096572.70515323</v>
      </c>
      <c r="K11" s="348">
        <f>J11/((1+Parâmetros!E11)*(1+Parâmetros!F11)*(1+Parâmetros!G11))</f>
        <v>26282458.83700267</v>
      </c>
      <c r="L11" s="545" t="s">
        <v>644</v>
      </c>
      <c r="M11" s="389">
        <f>J11/RCL!F14</f>
        <v>0.9974557868790002</v>
      </c>
    </row>
    <row r="12" spans="1:13" s="11" customFormat="1" ht="12.75">
      <c r="A12" s="388" t="s">
        <v>121</v>
      </c>
      <c r="B12" s="348">
        <f>'RPrim-Nom'!E19</f>
        <v>22896154.755513832</v>
      </c>
      <c r="C12" s="348">
        <f>B12/(1+Parâmetros!E11)</f>
        <v>22447210.544621404</v>
      </c>
      <c r="D12" s="546"/>
      <c r="E12" s="389">
        <f>B12/RCL!D14</f>
        <v>0.9910685772774501</v>
      </c>
      <c r="F12" s="348">
        <f>'RPrim-Nom'!F19</f>
        <v>25286127.244878463</v>
      </c>
      <c r="G12" s="348">
        <f>F12/((1+Parâmetros!E11)*(1+Parâmetros!F11))</f>
        <v>24244812.546026617</v>
      </c>
      <c r="H12" s="546"/>
      <c r="I12" s="389">
        <f>F12/RCL!E14</f>
        <v>0.9928423445162503</v>
      </c>
      <c r="J12" s="348">
        <f>'RPrim-Nom'!G19</f>
        <v>28016001.728183202</v>
      </c>
      <c r="K12" s="348">
        <f>J12/((1+Parâmetros!E11)*(1+Parâmetros!F11)*(1+Parâmetros!G11))</f>
        <v>26207090.093352187</v>
      </c>
      <c r="L12" s="546"/>
      <c r="M12" s="389">
        <f>J12/RCL!F14</f>
        <v>0.9945954384629633</v>
      </c>
    </row>
    <row r="13" spans="1:13" s="11" customFormat="1" ht="12.75">
      <c r="A13" s="388" t="s">
        <v>69</v>
      </c>
      <c r="B13" s="348">
        <f>'RPrim-Nom'!E23+'RPrim-Nom'!E27</f>
        <v>22679648.38083041</v>
      </c>
      <c r="C13" s="348">
        <f>B13/(1+Parâmetros!E11)</f>
        <v>22234949.39297099</v>
      </c>
      <c r="D13" s="546"/>
      <c r="E13" s="389">
        <f>B13/RCL!D14</f>
        <v>0.9816970182964678</v>
      </c>
      <c r="F13" s="348">
        <f>'RPrim-Nom'!F23+'RPrim-Nom'!F27</f>
        <v>25349720.838963274</v>
      </c>
      <c r="G13" s="348">
        <f>F13/((1+Parâmetros!E11)*(1+Parâmetros!F11))</f>
        <v>24305787.27548135</v>
      </c>
      <c r="H13" s="546"/>
      <c r="I13" s="389">
        <f>F13/RCL!E14</f>
        <v>0.99533930312268</v>
      </c>
      <c r="J13" s="348">
        <f>'RPrim-Nom'!G23+'RPrim-Nom'!G27</f>
        <v>28551250.783795364</v>
      </c>
      <c r="K13" s="348">
        <f>J13/((1+Parâmetros!E11)*(1+Parâmetros!F11)*(1+Parâmetros!G11))</f>
        <v>26707779.676359262</v>
      </c>
      <c r="L13" s="546"/>
      <c r="M13" s="389">
        <f>J13/RCL!F14</f>
        <v>1.013597302980195</v>
      </c>
    </row>
    <row r="14" spans="1:13" s="11" customFormat="1" ht="12.75">
      <c r="A14" s="388" t="s">
        <v>122</v>
      </c>
      <c r="B14" s="348">
        <f>'RPrim-Nom'!E33</f>
        <v>22375515.504548132</v>
      </c>
      <c r="C14" s="348">
        <f>B14/(1+Parâmetros!E11)</f>
        <v>21936779.90641974</v>
      </c>
      <c r="D14" s="546"/>
      <c r="E14" s="389">
        <f>B14/RCL!D14</f>
        <v>0.9685325135916859</v>
      </c>
      <c r="F14" s="348">
        <f>'RPrim-Nom'!F33</f>
        <v>25038744.972964644</v>
      </c>
      <c r="G14" s="348">
        <f>F14/((1+Parâmetros!E11)*(1+Parâmetros!F11))</f>
        <v>24007617.788930096</v>
      </c>
      <c r="H14" s="546"/>
      <c r="I14" s="389">
        <f>F14/RCL!E14</f>
        <v>0.9831290502478123</v>
      </c>
      <c r="J14" s="348">
        <f>'RPrim-Nom'!G33</f>
        <v>28232500.52114677</v>
      </c>
      <c r="K14" s="348">
        <f>J14/((1+Parâmetros!E11)*(1+Parâmetros!F11)*(1+Parâmetros!G11))</f>
        <v>26409610.18980801</v>
      </c>
      <c r="L14" s="546"/>
      <c r="M14" s="389">
        <f>J14/RCL!F14</f>
        <v>1.002281357174829</v>
      </c>
    </row>
    <row r="15" spans="1:13" s="11" customFormat="1" ht="12.75">
      <c r="A15" s="388" t="s">
        <v>70</v>
      </c>
      <c r="B15" s="348">
        <f>B12-B14</f>
        <v>520639.25096569955</v>
      </c>
      <c r="C15" s="348">
        <f>B15/(1+Parâmetros!E11)</f>
        <v>510430.63820166624</v>
      </c>
      <c r="D15" s="546"/>
      <c r="E15" s="389">
        <f>B15/RCL!D14</f>
        <v>0.022536063685764225</v>
      </c>
      <c r="F15" s="348">
        <f>F12-F14</f>
        <v>247382.27191381902</v>
      </c>
      <c r="G15" s="348">
        <f>F15/((1+Parâmetros!E11)*(1+Parâmetros!F11))</f>
        <v>237194.75709652333</v>
      </c>
      <c r="H15" s="546"/>
      <c r="I15" s="389">
        <f>F15/RCL!E14</f>
        <v>0.009713294268438026</v>
      </c>
      <c r="J15" s="348">
        <f>J12-J14</f>
        <v>-216498.79296356812</v>
      </c>
      <c r="K15" s="348">
        <f>J15/((1+Parâmetros!E11)*(1+Parâmetros!F11)*(1+Parâmetros!G11))</f>
        <v>-202520.09645582535</v>
      </c>
      <c r="L15" s="546"/>
      <c r="M15" s="389">
        <f>J15/RCL!F14</f>
        <v>-0.007685918711865603</v>
      </c>
    </row>
    <row r="16" spans="1:13" s="11" customFormat="1" ht="12.75">
      <c r="A16" s="388" t="s">
        <v>71</v>
      </c>
      <c r="B16" s="348">
        <f>'RPrim-Nom'!E79</f>
        <v>520639.25096569955</v>
      </c>
      <c r="C16" s="348">
        <f>B16/(1+Parâmetros!E11)</f>
        <v>510430.63820166624</v>
      </c>
      <c r="D16" s="546"/>
      <c r="E16" s="389">
        <f>B16/RCL!D14</f>
        <v>0.022536063685764225</v>
      </c>
      <c r="F16" s="348">
        <f>'RPrim-Nom'!F79</f>
        <v>247382.27191381902</v>
      </c>
      <c r="G16" s="348">
        <f>F16/((1+Parâmetros!E11)*(1+Parâmetros!F11))</f>
        <v>237194.75709652333</v>
      </c>
      <c r="H16" s="546"/>
      <c r="I16" s="389">
        <f>F16/RCL!E14</f>
        <v>0.009713294268438026</v>
      </c>
      <c r="J16" s="348">
        <f>'RPrim-Nom'!G79</f>
        <v>-216498.79296356812</v>
      </c>
      <c r="K16" s="348">
        <f>J16/((1+Parâmetros!E11)*(1+Parâmetros!F11)*(1+Parâmetros!G11))</f>
        <v>-202520.09645582535</v>
      </c>
      <c r="L16" s="546"/>
      <c r="M16" s="389">
        <f>J16/RCL!F14</f>
        <v>-0.007685918711865603</v>
      </c>
    </row>
    <row r="17" spans="1:13" s="11" customFormat="1" ht="12.75">
      <c r="A17" s="388" t="s">
        <v>72</v>
      </c>
      <c r="B17" s="348">
        <f>Dívida!E7</f>
        <v>594407.5133333333</v>
      </c>
      <c r="C17" s="348">
        <f>B17/(1+Parâmetros!E11)</f>
        <v>582752.4640522875</v>
      </c>
      <c r="D17" s="546"/>
      <c r="E17" s="389">
        <f>B17/RCL!D14</f>
        <v>0.0257291503683791</v>
      </c>
      <c r="F17" s="348">
        <f>Dívida!F7</f>
        <v>790547.3111111111</v>
      </c>
      <c r="G17" s="348">
        <f>F17/((1+Parâmetros!E11)*(1+Parâmetros!F11))</f>
        <v>757991.5730486707</v>
      </c>
      <c r="H17" s="546"/>
      <c r="I17" s="389">
        <f>F17/RCL!E14</f>
        <v>0.031040294870522216</v>
      </c>
      <c r="J17" s="348">
        <f>Dívida!G7</f>
        <v>707144.0881481481</v>
      </c>
      <c r="K17" s="348">
        <f>J17/((1+Parâmetros!E11)*(1+Parâmetros!F11)*(1+Parâmetros!G11))</f>
        <v>661485.8539374343</v>
      </c>
      <c r="L17" s="546"/>
      <c r="M17" s="389">
        <f>J17/RCL!F14</f>
        <v>0.025104306147321516</v>
      </c>
    </row>
    <row r="18" spans="1:13" s="11" customFormat="1" ht="12.75">
      <c r="A18" s="388" t="s">
        <v>73</v>
      </c>
      <c r="B18" s="348">
        <f>Dívida!E15</f>
        <v>-732982.4999999999</v>
      </c>
      <c r="C18" s="348">
        <f>B18/(1+Parâmetros!E11)</f>
        <v>-718610.294117647</v>
      </c>
      <c r="D18" s="546"/>
      <c r="E18" s="389">
        <f>B18/RCL!D14</f>
        <v>-0.03172742022410242</v>
      </c>
      <c r="F18" s="348">
        <f>Dívida!F15</f>
        <v>-521195.69666666666</v>
      </c>
      <c r="G18" s="348">
        <f>F18/((1+Parâmetros!E11)*(1+Parâmetros!F11))</f>
        <v>-499732.19873116317</v>
      </c>
      <c r="H18" s="546"/>
      <c r="I18" s="389">
        <f>F18/RCL!E14</f>
        <v>-0.02046438952153588</v>
      </c>
      <c r="J18" s="348">
        <f>Dívida!G15</f>
        <v>-656626.4088888889</v>
      </c>
      <c r="K18" s="348">
        <f>J18/((1+Parâmetros!E11)*(1+Parâmetros!F11)*(1+Parâmetros!G11))</f>
        <v>-614229.954094929</v>
      </c>
      <c r="L18" s="546"/>
      <c r="M18" s="389">
        <f>J18/RCL!F14</f>
        <v>-0.02331087916796601</v>
      </c>
    </row>
    <row r="19" spans="1:13" s="11" customFormat="1" ht="12.75">
      <c r="A19" s="388" t="s">
        <v>213</v>
      </c>
      <c r="B19" s="348">
        <v>0</v>
      </c>
      <c r="C19" s="348">
        <f>B19/(1+Parâmetros!E11)</f>
        <v>0</v>
      </c>
      <c r="D19" s="546"/>
      <c r="E19" s="389">
        <f>B19/RCL!D14</f>
        <v>0</v>
      </c>
      <c r="F19" s="348">
        <v>0</v>
      </c>
      <c r="G19" s="348">
        <f>F19/((1+Parâmetros!E11)*(1+Parâmetros!F11))</f>
        <v>0</v>
      </c>
      <c r="H19" s="546"/>
      <c r="I19" s="389">
        <f>F19/RCL!E14</f>
        <v>0</v>
      </c>
      <c r="J19" s="348">
        <v>0</v>
      </c>
      <c r="K19" s="348">
        <f>J19/((1+Parâmetros!E11)*(1+Parâmetros!F11)*(1+Parâmetros!G11))</f>
        <v>0</v>
      </c>
      <c r="L19" s="546"/>
      <c r="M19" s="389">
        <f>J19/RCL!F14</f>
        <v>0</v>
      </c>
    </row>
    <row r="20" spans="1:13" s="11" customFormat="1" ht="12.75">
      <c r="A20" s="388" t="s">
        <v>214</v>
      </c>
      <c r="B20" s="348">
        <v>0</v>
      </c>
      <c r="C20" s="348">
        <f>B20/(1+Parâmetros!E11)</f>
        <v>0</v>
      </c>
      <c r="D20" s="546"/>
      <c r="E20" s="389">
        <f>B20/RCL!D14</f>
        <v>0</v>
      </c>
      <c r="F20" s="348">
        <v>0</v>
      </c>
      <c r="G20" s="348">
        <f>F20/((1+Parâmetros!E11)*(1+Parâmetros!F11))</f>
        <v>0</v>
      </c>
      <c r="H20" s="546"/>
      <c r="I20" s="389">
        <f>F20/RCL!E14</f>
        <v>0</v>
      </c>
      <c r="J20" s="348">
        <v>0</v>
      </c>
      <c r="K20" s="348">
        <f>J20/((1+Parâmetros!E11)*(1+Parâmetros!F11)*(1+Parâmetros!G11))</f>
        <v>0</v>
      </c>
      <c r="L20" s="546"/>
      <c r="M20" s="389">
        <f>J20/RCL!F14</f>
        <v>0</v>
      </c>
    </row>
    <row r="21" spans="1:13" s="11" customFormat="1" ht="12.75">
      <c r="A21" s="388" t="s">
        <v>215</v>
      </c>
      <c r="B21" s="348">
        <v>0</v>
      </c>
      <c r="C21" s="348">
        <f>B21/(1+Parâmetros!E11)</f>
        <v>0</v>
      </c>
      <c r="D21" s="547"/>
      <c r="E21" s="389">
        <f>B21/RCL!D14</f>
        <v>0</v>
      </c>
      <c r="F21" s="348">
        <v>0</v>
      </c>
      <c r="G21" s="348">
        <f>F21/((1+Parâmetros!E11)*(1+Parâmetros!F11))</f>
        <v>0</v>
      </c>
      <c r="H21" s="547"/>
      <c r="I21" s="389">
        <f>F21/RCL!E14</f>
        <v>0</v>
      </c>
      <c r="J21" s="348">
        <v>0</v>
      </c>
      <c r="K21" s="348">
        <f>J21/((1+Parâmetros!E11)*(1+Parâmetros!F11)*(1+Parâmetros!G11))</f>
        <v>0</v>
      </c>
      <c r="L21" s="547"/>
      <c r="M21" s="389">
        <f>J21/RCL!F14</f>
        <v>0</v>
      </c>
    </row>
    <row r="22" spans="1:13" ht="12.75">
      <c r="A22" s="550" t="s">
        <v>515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</row>
    <row r="23" s="111" customFormat="1" ht="15" customHeight="1"/>
  </sheetData>
  <sheetProtection/>
  <mergeCells count="22">
    <mergeCell ref="D11:D21"/>
    <mergeCell ref="H11:H21"/>
    <mergeCell ref="J6:M6"/>
    <mergeCell ref="L11:L21"/>
    <mergeCell ref="A22:M22"/>
    <mergeCell ref="A7:A10"/>
    <mergeCell ref="B7:E7"/>
    <mergeCell ref="B8:B10"/>
    <mergeCell ref="C8:C10"/>
    <mergeCell ref="J8:J10"/>
    <mergeCell ref="K8:K10"/>
    <mergeCell ref="A5:M5"/>
    <mergeCell ref="F8:F10"/>
    <mergeCell ref="G8:G10"/>
    <mergeCell ref="J7:M7"/>
    <mergeCell ref="F6:H6"/>
    <mergeCell ref="A1:M1"/>
    <mergeCell ref="A2:M2"/>
    <mergeCell ref="A3:M3"/>
    <mergeCell ref="A4:M4"/>
    <mergeCell ref="F7:I7"/>
    <mergeCell ref="A6:D6"/>
  </mergeCells>
  <printOptions/>
  <pageMargins left="0.787401575" right="0.787401575" top="0.984251969" bottom="0.984251969" header="0.492125985" footer="0.492125985"/>
  <pageSetup horizontalDpi="600" verticalDpi="600" orientation="portrait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SheetLayoutView="90" zoomScalePageLayoutView="0" workbookViewId="0" topLeftCell="A1">
      <selection activeCell="E26" sqref="E26"/>
    </sheetView>
  </sheetViews>
  <sheetFormatPr defaultColWidth="9.140625" defaultRowHeight="12.75"/>
  <cols>
    <col min="1" max="1" width="30.00390625" style="13" customWidth="1"/>
    <col min="2" max="2" width="12.140625" style="13" customWidth="1"/>
    <col min="3" max="3" width="13.421875" style="13" customWidth="1"/>
    <col min="4" max="4" width="12.140625" style="13" customWidth="1"/>
    <col min="5" max="6" width="12.8515625" style="13" customWidth="1"/>
    <col min="7" max="7" width="10.7109375" style="13" customWidth="1"/>
    <col min="8" max="8" width="12.8515625" style="13" customWidth="1"/>
    <col min="9" max="9" width="13.140625" style="13" customWidth="1"/>
    <col min="10" max="10" width="10.140625" style="13" customWidth="1"/>
    <col min="11" max="16384" width="9.140625" style="13" customWidth="1"/>
  </cols>
  <sheetData>
    <row r="1" spans="1:10" ht="14.25">
      <c r="A1" s="570" t="str">
        <f>Parâmetros!A7</f>
        <v>Município de Barra do Quaraí</v>
      </c>
      <c r="B1" s="568"/>
      <c r="C1" s="568"/>
      <c r="D1" s="568"/>
      <c r="E1" s="568"/>
      <c r="F1" s="568"/>
      <c r="G1" s="568"/>
      <c r="H1" s="568"/>
      <c r="I1" s="568"/>
      <c r="J1" s="569"/>
    </row>
    <row r="2" spans="1:10" ht="14.25">
      <c r="A2" s="567" t="s">
        <v>36</v>
      </c>
      <c r="B2" s="568"/>
      <c r="C2" s="568"/>
      <c r="D2" s="568"/>
      <c r="E2" s="568"/>
      <c r="F2" s="568"/>
      <c r="G2" s="568"/>
      <c r="H2" s="568"/>
      <c r="I2" s="568"/>
      <c r="J2" s="569"/>
    </row>
    <row r="3" spans="1:10" ht="14.25">
      <c r="A3" s="567" t="str">
        <f>'Metas Cons'!A3:M3</f>
        <v>ANEXO DE METAS FISCAIS</v>
      </c>
      <c r="B3" s="568"/>
      <c r="C3" s="568"/>
      <c r="D3" s="568"/>
      <c r="E3" s="568"/>
      <c r="F3" s="568"/>
      <c r="G3" s="568"/>
      <c r="H3" s="568"/>
      <c r="I3" s="568"/>
      <c r="J3" s="569"/>
    </row>
    <row r="4" spans="1:10" ht="15">
      <c r="A4" s="571" t="s">
        <v>501</v>
      </c>
      <c r="B4" s="572"/>
      <c r="C4" s="572"/>
      <c r="D4" s="572"/>
      <c r="E4" s="572"/>
      <c r="F4" s="572"/>
      <c r="G4" s="572"/>
      <c r="H4" s="572"/>
      <c r="I4" s="572"/>
      <c r="J4" s="573"/>
    </row>
    <row r="5" spans="1:10" ht="17.25" customHeight="1">
      <c r="A5" s="567" t="s">
        <v>614</v>
      </c>
      <c r="B5" s="568"/>
      <c r="C5" s="568"/>
      <c r="D5" s="568"/>
      <c r="E5" s="568"/>
      <c r="F5" s="568"/>
      <c r="G5" s="568"/>
      <c r="H5" s="568"/>
      <c r="I5" s="568"/>
      <c r="J5" s="569"/>
    </row>
    <row r="6" spans="1:10" ht="21.75" customHeight="1">
      <c r="A6" s="177"/>
      <c r="B6" s="178"/>
      <c r="C6" s="178"/>
      <c r="D6" s="178"/>
      <c r="E6" s="178"/>
      <c r="F6" s="178"/>
      <c r="G6" s="178"/>
      <c r="H6" s="178"/>
      <c r="I6" s="178"/>
      <c r="J6" s="179"/>
    </row>
    <row r="7" spans="1:10" ht="15">
      <c r="A7" s="561" t="s">
        <v>514</v>
      </c>
      <c r="B7" s="562"/>
      <c r="C7" s="562"/>
      <c r="D7" s="563"/>
      <c r="E7" s="574"/>
      <c r="F7" s="574"/>
      <c r="G7" s="574"/>
      <c r="H7" s="575">
        <v>1</v>
      </c>
      <c r="I7" s="576"/>
      <c r="J7" s="576"/>
    </row>
    <row r="8" spans="1:10" s="14" customFormat="1" ht="14.25">
      <c r="A8" s="555" t="s">
        <v>56</v>
      </c>
      <c r="B8" s="558">
        <f>Parâmetros!E10</f>
        <v>2019</v>
      </c>
      <c r="C8" s="559"/>
      <c r="D8" s="560"/>
      <c r="E8" s="558">
        <f>B8+1</f>
        <v>2020</v>
      </c>
      <c r="F8" s="559"/>
      <c r="G8" s="560"/>
      <c r="H8" s="558">
        <f>E8+1</f>
        <v>2021</v>
      </c>
      <c r="I8" s="559"/>
      <c r="J8" s="560"/>
    </row>
    <row r="9" spans="1:10" ht="15.75" customHeight="1">
      <c r="A9" s="556"/>
      <c r="B9" s="280" t="s">
        <v>57</v>
      </c>
      <c r="C9" s="281" t="s">
        <v>57</v>
      </c>
      <c r="D9" s="281" t="s">
        <v>58</v>
      </c>
      <c r="E9" s="281" t="s">
        <v>57</v>
      </c>
      <c r="F9" s="281" t="s">
        <v>57</v>
      </c>
      <c r="G9" s="281" t="s">
        <v>58</v>
      </c>
      <c r="H9" s="281" t="s">
        <v>57</v>
      </c>
      <c r="I9" s="281" t="s">
        <v>57</v>
      </c>
      <c r="J9" s="282" t="s">
        <v>58</v>
      </c>
    </row>
    <row r="10" spans="1:10" ht="15.75" customHeight="1">
      <c r="A10" s="556"/>
      <c r="B10" s="283" t="s">
        <v>59</v>
      </c>
      <c r="C10" s="284" t="s">
        <v>60</v>
      </c>
      <c r="D10" s="284" t="s">
        <v>61</v>
      </c>
      <c r="E10" s="284" t="s">
        <v>59</v>
      </c>
      <c r="F10" s="284" t="s">
        <v>60</v>
      </c>
      <c r="G10" s="284" t="s">
        <v>62</v>
      </c>
      <c r="H10" s="284" t="s">
        <v>59</v>
      </c>
      <c r="I10" s="284" t="s">
        <v>60</v>
      </c>
      <c r="J10" s="285" t="s">
        <v>63</v>
      </c>
    </row>
    <row r="11" spans="1:10" ht="15.75" customHeight="1">
      <c r="A11" s="557"/>
      <c r="B11" s="287" t="s">
        <v>64</v>
      </c>
      <c r="C11" s="288"/>
      <c r="D11" s="289" t="s">
        <v>65</v>
      </c>
      <c r="E11" s="289" t="s">
        <v>66</v>
      </c>
      <c r="F11" s="288"/>
      <c r="G11" s="289" t="s">
        <v>65</v>
      </c>
      <c r="H11" s="289" t="s">
        <v>67</v>
      </c>
      <c r="I11" s="288"/>
      <c r="J11" s="290" t="s">
        <v>65</v>
      </c>
    </row>
    <row r="12" spans="1:10" ht="14.25">
      <c r="A12" s="291" t="s">
        <v>149</v>
      </c>
      <c r="B12" s="292">
        <f>Projeções!G17+Projeções!G28+Projeções!G72+Projeções!G95+Projeções!G97</f>
        <v>0</v>
      </c>
      <c r="C12" s="292">
        <f>B12/(1+Parâmetros!E11)</f>
        <v>0</v>
      </c>
      <c r="D12" s="564" t="s">
        <v>650</v>
      </c>
      <c r="E12" s="292">
        <f>Projeções!H17+Projeções!H28+Projeções!H72+Projeções!H95+Projeções!H97</f>
        <v>0</v>
      </c>
      <c r="F12" s="292">
        <f>E12/((1+Parâmetros!E11)*(1+Parâmetros!F11))</f>
        <v>0</v>
      </c>
      <c r="G12" s="564" t="s">
        <v>650</v>
      </c>
      <c r="H12" s="293">
        <f>Projeções!I17+Projeções!I28+Projeções!I72+Projeções!I95+Projeções!I97</f>
        <v>0</v>
      </c>
      <c r="I12" s="293">
        <f>H12/((1+Parâmetros!E11)*(1+Parâmetros!F11)*(1+Parâmetros!G11))</f>
        <v>0</v>
      </c>
      <c r="J12" s="564" t="s">
        <v>650</v>
      </c>
    </row>
    <row r="13" spans="1:10" ht="14.25">
      <c r="A13" s="291" t="s">
        <v>150</v>
      </c>
      <c r="B13" s="292">
        <f>B12-Projeções!G28</f>
        <v>0</v>
      </c>
      <c r="C13" s="292">
        <f>B13/(1+Parâmetros!E11)</f>
        <v>0</v>
      </c>
      <c r="D13" s="565"/>
      <c r="E13" s="292">
        <f>E12-Projeções!H28</f>
        <v>0</v>
      </c>
      <c r="F13" s="292">
        <f>E13/((1+Parâmetros!E11)*(1+Parâmetros!F11))</f>
        <v>0</v>
      </c>
      <c r="G13" s="565"/>
      <c r="H13" s="293">
        <f>H12-Projeções!I28</f>
        <v>0</v>
      </c>
      <c r="I13" s="293">
        <f>H13/((1+Parâmetros!E11)*(1+Parâmetros!F11)*(1+Parâmetros!G11))</f>
        <v>0</v>
      </c>
      <c r="J13" s="565"/>
    </row>
    <row r="14" spans="1:10" ht="14.25">
      <c r="A14" s="291" t="s">
        <v>151</v>
      </c>
      <c r="B14" s="292">
        <f>Projeções!G117+Projeções!G121+Projeções!G125+Projeções!G130+Projeções!G138+Projeções!G140</f>
        <v>0</v>
      </c>
      <c r="C14" s="292">
        <f>B14/(1+Parâmetros!E11)</f>
        <v>0</v>
      </c>
      <c r="D14" s="565"/>
      <c r="E14" s="292">
        <f>Projeções!H117+Projeções!H121+Projeções!H125+Projeções!H130+Projeções!H138+Projeções!H140</f>
        <v>0</v>
      </c>
      <c r="F14" s="292">
        <f>E14/((1+Parâmetros!E11)*(1+Parâmetros!F11))</f>
        <v>0</v>
      </c>
      <c r="G14" s="565"/>
      <c r="H14" s="293">
        <f>Projeções!I117+Projeções!I121+Projeções!I125+Projeções!I130+Projeções!I138+Projeções!I140</f>
        <v>0</v>
      </c>
      <c r="I14" s="293">
        <f>H14/((1+Parâmetros!E11)*(1+Parâmetros!F11)*(1+Parâmetros!G11))</f>
        <v>0</v>
      </c>
      <c r="J14" s="565"/>
    </row>
    <row r="15" spans="1:10" ht="28.5">
      <c r="A15" s="291" t="s">
        <v>152</v>
      </c>
      <c r="B15" s="292">
        <f>B14-Projeções!G121-Projeções!G138</f>
        <v>0</v>
      </c>
      <c r="C15" s="292">
        <f>B15/(1+Parâmetros!E11)</f>
        <v>0</v>
      </c>
      <c r="D15" s="565"/>
      <c r="E15" s="292">
        <f>E14-Projeções!H121-Projeções!H138</f>
        <v>0</v>
      </c>
      <c r="F15" s="292">
        <f>E15/((1+Parâmetros!E11)*(1+Parâmetros!F11))</f>
        <v>0</v>
      </c>
      <c r="G15" s="565"/>
      <c r="H15" s="293">
        <f>H14-Projeções!I121-Projeções!I138</f>
        <v>0</v>
      </c>
      <c r="I15" s="293">
        <f>H15/((1+Parâmetros!E11)*(1+Parâmetros!F11)*(1+Parâmetros!G11))</f>
        <v>0</v>
      </c>
      <c r="J15" s="565"/>
    </row>
    <row r="16" spans="1:10" ht="28.5">
      <c r="A16" s="291" t="s">
        <v>153</v>
      </c>
      <c r="B16" s="292">
        <f>B13-B15</f>
        <v>0</v>
      </c>
      <c r="C16" s="292">
        <f>C13-C15</f>
        <v>0</v>
      </c>
      <c r="D16" s="566"/>
      <c r="E16" s="292">
        <f>E13-E15</f>
        <v>0</v>
      </c>
      <c r="F16" s="292">
        <f>F13-F15</f>
        <v>0</v>
      </c>
      <c r="G16" s="566"/>
      <c r="H16" s="293">
        <f>H13-H15</f>
        <v>0</v>
      </c>
      <c r="I16" s="293">
        <f>I13-I15</f>
        <v>0</v>
      </c>
      <c r="J16" s="566"/>
    </row>
    <row r="17" spans="1:10" ht="14.25">
      <c r="A17" s="554" t="s">
        <v>216</v>
      </c>
      <c r="B17" s="554"/>
      <c r="C17" s="554"/>
      <c r="D17" s="554"/>
      <c r="E17" s="554"/>
      <c r="F17" s="554"/>
      <c r="G17" s="554"/>
      <c r="H17" s="554"/>
      <c r="I17" s="554"/>
      <c r="J17" s="554"/>
    </row>
    <row r="18" s="181" customFormat="1" ht="15" customHeight="1"/>
  </sheetData>
  <sheetProtection/>
  <mergeCells count="16">
    <mergeCell ref="A5:J5"/>
    <mergeCell ref="A1:J1"/>
    <mergeCell ref="A2:J2"/>
    <mergeCell ref="A3:J3"/>
    <mergeCell ref="A4:J4"/>
    <mergeCell ref="E7:G7"/>
    <mergeCell ref="H7:J7"/>
    <mergeCell ref="A17:J17"/>
    <mergeCell ref="A8:A11"/>
    <mergeCell ref="B8:D8"/>
    <mergeCell ref="E8:G8"/>
    <mergeCell ref="H8:J8"/>
    <mergeCell ref="A7:D7"/>
    <mergeCell ref="D12:D16"/>
    <mergeCell ref="G12:G16"/>
    <mergeCell ref="J12:J16"/>
  </mergeCells>
  <printOptions/>
  <pageMargins left="0.787401575" right="0.787401575" top="0.984251969" bottom="0.984251969" header="0.492125985" footer="0.492125985"/>
  <pageSetup horizontalDpi="300" verticalDpi="300" orientation="portrait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/>
  <dimension ref="A1:I19"/>
  <sheetViews>
    <sheetView view="pageBreakPreview" zoomScaleNormal="90" zoomScaleSheetLayoutView="100" zoomScalePageLayoutView="0" workbookViewId="0" topLeftCell="A13">
      <selection activeCell="E17" sqref="E17"/>
    </sheetView>
  </sheetViews>
  <sheetFormatPr defaultColWidth="9.140625" defaultRowHeight="12.75"/>
  <cols>
    <col min="1" max="1" width="20.7109375" style="11" customWidth="1"/>
    <col min="2" max="2" width="18.57421875" style="11" customWidth="1"/>
    <col min="3" max="3" width="9.7109375" style="11" customWidth="1"/>
    <col min="4" max="4" width="10.57421875" style="11" customWidth="1"/>
    <col min="5" max="5" width="19.421875" style="11" customWidth="1"/>
    <col min="6" max="6" width="9.7109375" style="11" customWidth="1"/>
    <col min="7" max="7" width="13.00390625" style="11" customWidth="1"/>
    <col min="8" max="8" width="16.00390625" style="11" customWidth="1"/>
    <col min="9" max="9" width="19.7109375" style="11" customWidth="1"/>
    <col min="10" max="10" width="14.7109375" style="11" customWidth="1"/>
    <col min="11" max="16384" width="9.140625" style="11" customWidth="1"/>
  </cols>
  <sheetData>
    <row r="1" spans="1:9" ht="12.75">
      <c r="A1" s="524" t="str">
        <f>Parâmetros!A7</f>
        <v>Município de Barra do Quaraí</v>
      </c>
      <c r="B1" s="525"/>
      <c r="C1" s="525"/>
      <c r="D1" s="525"/>
      <c r="E1" s="525"/>
      <c r="F1" s="525"/>
      <c r="G1" s="525"/>
      <c r="H1" s="525"/>
      <c r="I1" s="526"/>
    </row>
    <row r="2" spans="1:9" ht="12.75">
      <c r="A2" s="527" t="s">
        <v>36</v>
      </c>
      <c r="B2" s="525"/>
      <c r="C2" s="525"/>
      <c r="D2" s="525"/>
      <c r="E2" s="525"/>
      <c r="F2" s="525"/>
      <c r="G2" s="525"/>
      <c r="H2" s="525"/>
      <c r="I2" s="526"/>
    </row>
    <row r="3" spans="1:9" ht="12.75">
      <c r="A3" s="527" t="str">
        <f>'Metas Cons'!A3:M3</f>
        <v>ANEXO DE METAS FISCAIS</v>
      </c>
      <c r="B3" s="525"/>
      <c r="C3" s="525"/>
      <c r="D3" s="525"/>
      <c r="E3" s="525"/>
      <c r="F3" s="525"/>
      <c r="G3" s="525"/>
      <c r="H3" s="525"/>
      <c r="I3" s="526"/>
    </row>
    <row r="4" spans="1:9" ht="12.75">
      <c r="A4" s="528" t="s">
        <v>502</v>
      </c>
      <c r="B4" s="529"/>
      <c r="C4" s="529"/>
      <c r="D4" s="529"/>
      <c r="E4" s="529"/>
      <c r="F4" s="529"/>
      <c r="G4" s="529"/>
      <c r="H4" s="529"/>
      <c r="I4" s="530"/>
    </row>
    <row r="5" spans="1:9" ht="12.75">
      <c r="A5" s="527" t="s">
        <v>614</v>
      </c>
      <c r="B5" s="525"/>
      <c r="C5" s="525"/>
      <c r="D5" s="525"/>
      <c r="E5" s="525"/>
      <c r="F5" s="525"/>
      <c r="G5" s="525"/>
      <c r="H5" s="525"/>
      <c r="I5" s="526"/>
    </row>
    <row r="6" spans="1:9" ht="12.75">
      <c r="A6" s="527"/>
      <c r="B6" s="525"/>
      <c r="C6" s="525"/>
      <c r="D6" s="525"/>
      <c r="E6" s="525"/>
      <c r="F6" s="525"/>
      <c r="G6" s="525"/>
      <c r="H6" s="525"/>
      <c r="I6" s="526"/>
    </row>
    <row r="7" spans="1:9" ht="12.75" customHeight="1">
      <c r="A7" s="587" t="s">
        <v>513</v>
      </c>
      <c r="B7" s="588"/>
      <c r="C7" s="347"/>
      <c r="D7" s="347"/>
      <c r="E7" s="347"/>
      <c r="F7" s="347"/>
      <c r="G7" s="347"/>
      <c r="H7" s="548">
        <v>1</v>
      </c>
      <c r="I7" s="549"/>
    </row>
    <row r="8" spans="1:9" ht="10.5" customHeight="1">
      <c r="A8" s="580" t="s">
        <v>56</v>
      </c>
      <c r="B8" s="540" t="s">
        <v>116</v>
      </c>
      <c r="C8" s="540" t="s">
        <v>58</v>
      </c>
      <c r="D8" s="540" t="s">
        <v>397</v>
      </c>
      <c r="E8" s="540" t="s">
        <v>117</v>
      </c>
      <c r="F8" s="540" t="s">
        <v>58</v>
      </c>
      <c r="G8" s="540" t="s">
        <v>397</v>
      </c>
      <c r="H8" s="583" t="s">
        <v>74</v>
      </c>
      <c r="I8" s="584"/>
    </row>
    <row r="9" spans="1:9" ht="12.75" customHeight="1">
      <c r="A9" s="581"/>
      <c r="B9" s="541"/>
      <c r="C9" s="541"/>
      <c r="D9" s="541"/>
      <c r="E9" s="541"/>
      <c r="F9" s="541"/>
      <c r="G9" s="541"/>
      <c r="H9" s="585"/>
      <c r="I9" s="586"/>
    </row>
    <row r="10" spans="1:9" ht="22.5" customHeight="1">
      <c r="A10" s="582"/>
      <c r="B10" s="391" t="s">
        <v>615</v>
      </c>
      <c r="C10" s="542"/>
      <c r="D10" s="542"/>
      <c r="E10" s="392" t="s">
        <v>616</v>
      </c>
      <c r="F10" s="542"/>
      <c r="G10" s="542"/>
      <c r="H10" s="393" t="s">
        <v>118</v>
      </c>
      <c r="I10" s="390" t="s">
        <v>75</v>
      </c>
    </row>
    <row r="11" spans="1:9" ht="12.75">
      <c r="A11" s="388" t="s">
        <v>39</v>
      </c>
      <c r="B11" s="348">
        <v>19466387.14</v>
      </c>
      <c r="C11" s="577" t="s">
        <v>645</v>
      </c>
      <c r="D11" s="441">
        <f>B11/RCL!B14</f>
        <v>0.9969009559016131</v>
      </c>
      <c r="E11" s="394">
        <f>Projeções!E105</f>
        <v>19506814.796000008</v>
      </c>
      <c r="F11" s="577" t="s">
        <v>645</v>
      </c>
      <c r="G11" s="389">
        <f>E11/RCL!B14</f>
        <v>0.9989713128004777</v>
      </c>
      <c r="H11" s="442">
        <f aca="true" t="shared" si="0" ref="H11:H18">E11-B11</f>
        <v>40427.656000006944</v>
      </c>
      <c r="I11" s="443">
        <f aca="true" t="shared" si="1" ref="I11:I18">IF(B11=0,"-",(H11/B11))</f>
        <v>0.002076792971867657</v>
      </c>
    </row>
    <row r="12" spans="1:9" ht="12.75">
      <c r="A12" s="388" t="s">
        <v>124</v>
      </c>
      <c r="B12" s="348">
        <v>19351381.43</v>
      </c>
      <c r="C12" s="578"/>
      <c r="D12" s="441">
        <f>B12/RCL!B14</f>
        <v>0.9910113523810111</v>
      </c>
      <c r="E12" s="394">
        <f>E11-Projeções!E25-Projeções!E79-Projeções!E80-Projeções!E85</f>
        <v>19438013.166000005</v>
      </c>
      <c r="F12" s="578"/>
      <c r="G12" s="389">
        <f>E12/RCL!B14</f>
        <v>0.9954478849439724</v>
      </c>
      <c r="H12" s="442">
        <f t="shared" si="0"/>
        <v>86631.73600000516</v>
      </c>
      <c r="I12" s="443">
        <f t="shared" si="1"/>
        <v>0.004476772695188674</v>
      </c>
    </row>
    <row r="13" spans="1:9" ht="12.75">
      <c r="A13" s="388" t="s">
        <v>40</v>
      </c>
      <c r="B13" s="348">
        <v>19466387.14</v>
      </c>
      <c r="C13" s="578"/>
      <c r="D13" s="441">
        <f>B13/RCL!B14</f>
        <v>0.9969009559016131</v>
      </c>
      <c r="E13" s="394">
        <f>Projeções!E141</f>
        <v>18082432.040000003</v>
      </c>
      <c r="F13" s="578"/>
      <c r="G13" s="389">
        <f>E13/RCL!B14</f>
        <v>0.9260266764478803</v>
      </c>
      <c r="H13" s="442">
        <f t="shared" si="0"/>
        <v>-1383955.0999999978</v>
      </c>
      <c r="I13" s="443">
        <f t="shared" si="1"/>
        <v>-0.07109460476906952</v>
      </c>
    </row>
    <row r="14" spans="1:9" ht="12.75">
      <c r="A14" s="388" t="s">
        <v>125</v>
      </c>
      <c r="B14" s="348">
        <v>18127803.95</v>
      </c>
      <c r="C14" s="578"/>
      <c r="D14" s="441">
        <f>B14/RCL!B14</f>
        <v>0.9283502355204899</v>
      </c>
      <c r="E14" s="394">
        <f>E13-Projeções!E118-Projeções!E135-Projeções!E132</f>
        <v>17843142.180000003</v>
      </c>
      <c r="F14" s="578"/>
      <c r="G14" s="389">
        <f>E14/RCL!B14</f>
        <v>0.9137723074961097</v>
      </c>
      <c r="H14" s="442">
        <f t="shared" si="0"/>
        <v>-284661.7699999958</v>
      </c>
      <c r="I14" s="443">
        <f t="shared" si="1"/>
        <v>-0.015703047693209186</v>
      </c>
    </row>
    <row r="15" spans="1:9" ht="25.5">
      <c r="A15" s="388" t="s">
        <v>76</v>
      </c>
      <c r="B15" s="440">
        <f>B12-B14</f>
        <v>1223577.4800000004</v>
      </c>
      <c r="C15" s="578"/>
      <c r="D15" s="441">
        <f>B15/RCL!B14</f>
        <v>0.06266111686052121</v>
      </c>
      <c r="E15" s="440">
        <f>E12-E14</f>
        <v>1594870.9860000014</v>
      </c>
      <c r="F15" s="578"/>
      <c r="G15" s="389">
        <f>E15/RCL!B14</f>
        <v>0.08167557744786276</v>
      </c>
      <c r="H15" s="442">
        <f t="shared" si="0"/>
        <v>371293.506000001</v>
      </c>
      <c r="I15" s="443">
        <f t="shared" si="1"/>
        <v>0.3034491170922832</v>
      </c>
    </row>
    <row r="16" spans="1:9" ht="15" customHeight="1">
      <c r="A16" s="388" t="s">
        <v>37</v>
      </c>
      <c r="B16" s="349">
        <v>-1708509</v>
      </c>
      <c r="C16" s="578"/>
      <c r="D16" s="441">
        <f>B16/RCL!B14</f>
        <v>-0.08749513934029923</v>
      </c>
      <c r="E16" s="394">
        <v>-1253439.34</v>
      </c>
      <c r="F16" s="578"/>
      <c r="G16" s="389">
        <f>E16/RCL!B14</f>
        <v>-0.06419038454460159</v>
      </c>
      <c r="H16" s="442">
        <f t="shared" si="0"/>
        <v>455069.6599999999</v>
      </c>
      <c r="I16" s="443">
        <f t="shared" si="1"/>
        <v>-0.2663548509255731</v>
      </c>
    </row>
    <row r="17" spans="1:9" ht="27" customHeight="1">
      <c r="A17" s="388" t="s">
        <v>77</v>
      </c>
      <c r="B17" s="349">
        <v>-297549</v>
      </c>
      <c r="C17" s="578"/>
      <c r="D17" s="441">
        <f>B17/RCL!B14</f>
        <v>-0.015237901126401263</v>
      </c>
      <c r="E17" s="394">
        <f>Dívida!C7</f>
        <v>1040756.98</v>
      </c>
      <c r="F17" s="578"/>
      <c r="G17" s="389">
        <f>E17/RCL!B14</f>
        <v>0.053298622942278336</v>
      </c>
      <c r="H17" s="442">
        <f t="shared" si="0"/>
        <v>1338305.98</v>
      </c>
      <c r="I17" s="443">
        <f t="shared" si="1"/>
        <v>-4.497766687167491</v>
      </c>
    </row>
    <row r="18" spans="1:9" ht="28.5" customHeight="1">
      <c r="A18" s="388" t="s">
        <v>78</v>
      </c>
      <c r="B18" s="349">
        <v>-1708509</v>
      </c>
      <c r="C18" s="579"/>
      <c r="D18" s="441">
        <f>B18/RCL!B14</f>
        <v>-0.08749513934029923</v>
      </c>
      <c r="E18" s="394">
        <v>-114903.56</v>
      </c>
      <c r="F18" s="579"/>
      <c r="G18" s="389">
        <f>E18/RCL!B14</f>
        <v>-0.00588437227599997</v>
      </c>
      <c r="H18" s="442">
        <f t="shared" si="0"/>
        <v>1593605.44</v>
      </c>
      <c r="I18" s="443">
        <f t="shared" si="1"/>
        <v>-0.9327462951614536</v>
      </c>
    </row>
    <row r="19" spans="1:9" ht="12.75">
      <c r="A19" s="550" t="s">
        <v>217</v>
      </c>
      <c r="B19" s="550"/>
      <c r="C19" s="550"/>
      <c r="D19" s="550"/>
      <c r="E19" s="550"/>
      <c r="F19" s="550"/>
      <c r="G19" s="550"/>
      <c r="H19" s="550"/>
      <c r="I19" s="550"/>
    </row>
  </sheetData>
  <sheetProtection/>
  <mergeCells count="19">
    <mergeCell ref="F8:F10"/>
    <mergeCell ref="D8:D10"/>
    <mergeCell ref="G8:G10"/>
    <mergeCell ref="A5:I5"/>
    <mergeCell ref="A6:I6"/>
    <mergeCell ref="A1:I1"/>
    <mergeCell ref="A2:I2"/>
    <mergeCell ref="A3:I3"/>
    <mergeCell ref="A4:I4"/>
    <mergeCell ref="C11:C18"/>
    <mergeCell ref="F11:F18"/>
    <mergeCell ref="A19:I19"/>
    <mergeCell ref="H7:I7"/>
    <mergeCell ref="A8:A10"/>
    <mergeCell ref="B8:B9"/>
    <mergeCell ref="E8:E9"/>
    <mergeCell ref="H8:I9"/>
    <mergeCell ref="A7:B7"/>
    <mergeCell ref="C8:C10"/>
  </mergeCells>
  <printOptions/>
  <pageMargins left="0.48" right="0.68" top="0.984251969" bottom="0.984251969" header="0.492125985" footer="0.492125985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Windows 7 Pro</cp:lastModifiedBy>
  <cp:lastPrinted>2018-08-02T14:23:40Z</cp:lastPrinted>
  <dcterms:created xsi:type="dcterms:W3CDTF">2000-07-04T17:38:30Z</dcterms:created>
  <dcterms:modified xsi:type="dcterms:W3CDTF">2018-08-02T14:24:09Z</dcterms:modified>
  <cp:category/>
  <cp:version/>
  <cp:contentType/>
  <cp:contentStatus/>
</cp:coreProperties>
</file>